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vml" ContentType="application/vnd.openxmlformats-officedocument.vmlDrawing"/>
  <Default Extension="emf" ContentType="image/x-emf"/>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0910"/>
  <workbookPr autoCompressPictures="0"/>
  <bookViews>
    <workbookView xWindow="26980" yWindow="0" windowWidth="20000" windowHeight="11740" tabRatio="794"/>
  </bookViews>
  <sheets>
    <sheet name="Total Emissions" sheetId="5" r:id="rId1"/>
    <sheet name="Definition of Building Types" sheetId="3" r:id="rId2"/>
    <sheet name="Embodied Emissions" sheetId="4" r:id="rId3"/>
    <sheet name="Energy Emissions" sheetId="1" r:id="rId4"/>
    <sheet name="Transportation Emissions" sheetId="2" r:id="rId5"/>
  </sheets>
  <definedNames>
    <definedName name="Education" localSheetId="1">'Definition of Building Types'!$B$8</definedName>
    <definedName name="_xlnm.Print_Area" localSheetId="3">'Energy Emissions'!$A$2:$K$70</definedName>
    <definedName name="_xlnm.Print_Area" localSheetId="4">'Transportation Emissions'!$B$1:$L$84</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29" i="4" l="1"/>
  <c r="B31" i="4"/>
  <c r="C29" i="4"/>
  <c r="C30" i="4"/>
  <c r="C31" i="4"/>
  <c r="D29" i="4"/>
  <c r="D31" i="4"/>
  <c r="E29" i="4"/>
  <c r="E30" i="4"/>
  <c r="E31" i="4"/>
  <c r="F29" i="4"/>
  <c r="F31" i="4"/>
  <c r="G29" i="4"/>
  <c r="G31" i="4"/>
  <c r="E53" i="1"/>
  <c r="E52" i="1"/>
  <c r="E54" i="1"/>
  <c r="I5" i="1"/>
  <c r="I4" i="2"/>
  <c r="D5" i="1"/>
  <c r="E5" i="1"/>
  <c r="J5" i="1"/>
  <c r="F6" i="5"/>
  <c r="C6" i="4"/>
  <c r="C8" i="4"/>
  <c r="C5" i="4"/>
  <c r="H27" i="5"/>
  <c r="G4" i="2"/>
  <c r="J4" i="2"/>
  <c r="G6" i="5"/>
  <c r="I6" i="1"/>
  <c r="I5" i="2"/>
  <c r="G5" i="2"/>
  <c r="D53" i="1"/>
  <c r="D52" i="1"/>
  <c r="D54" i="1"/>
  <c r="G6" i="2"/>
  <c r="G3" i="2"/>
  <c r="D3" i="2"/>
  <c r="E3" i="2"/>
  <c r="H3" i="2"/>
  <c r="D4" i="2"/>
  <c r="E4" i="2"/>
  <c r="H4" i="2"/>
  <c r="K4" i="2"/>
  <c r="E5" i="2"/>
  <c r="H5" i="2"/>
  <c r="D6" i="2"/>
  <c r="E6" i="2"/>
  <c r="H6" i="2"/>
  <c r="D10" i="1"/>
  <c r="E10" i="1"/>
  <c r="G10" i="1"/>
  <c r="H8" i="2"/>
  <c r="K8" i="2"/>
  <c r="G10" i="5"/>
  <c r="D11" i="1"/>
  <c r="E11" i="1"/>
  <c r="G11" i="1"/>
  <c r="H11" i="1"/>
  <c r="H9" i="2"/>
  <c r="K9" i="2"/>
  <c r="G11" i="5"/>
  <c r="D12" i="1"/>
  <c r="E12" i="1"/>
  <c r="G12" i="1"/>
  <c r="H12" i="1"/>
  <c r="H10" i="2"/>
  <c r="K10" i="2"/>
  <c r="G12" i="5"/>
  <c r="D13" i="1"/>
  <c r="E13" i="1"/>
  <c r="H11" i="2"/>
  <c r="K11" i="2"/>
  <c r="G13" i="5"/>
  <c r="D14" i="1"/>
  <c r="E14" i="1"/>
  <c r="G14" i="1"/>
  <c r="H12" i="2"/>
  <c r="K12" i="2"/>
  <c r="G14" i="5"/>
  <c r="D15" i="1"/>
  <c r="E15" i="1"/>
  <c r="G15" i="1"/>
  <c r="H15" i="1"/>
  <c r="H13" i="2"/>
  <c r="K13" i="2"/>
  <c r="G15" i="5"/>
  <c r="D16" i="1"/>
  <c r="E16" i="1"/>
  <c r="G16" i="1"/>
  <c r="H16" i="1"/>
  <c r="H14" i="2"/>
  <c r="K14" i="2"/>
  <c r="G16" i="5"/>
  <c r="D17" i="1"/>
  <c r="E17" i="1"/>
  <c r="H15" i="2"/>
  <c r="K15" i="2"/>
  <c r="G17" i="5"/>
  <c r="D18" i="1"/>
  <c r="E18" i="1"/>
  <c r="G18" i="1"/>
  <c r="H16" i="2"/>
  <c r="K16" i="2"/>
  <c r="G18" i="5"/>
  <c r="D19" i="1"/>
  <c r="E19" i="1"/>
  <c r="G19" i="1"/>
  <c r="H19" i="1"/>
  <c r="H17" i="2"/>
  <c r="K17" i="2"/>
  <c r="G19" i="5"/>
  <c r="D20" i="1"/>
  <c r="E20" i="1"/>
  <c r="G20" i="1"/>
  <c r="H20" i="1"/>
  <c r="H18" i="2"/>
  <c r="K18" i="2"/>
  <c r="G20" i="5"/>
  <c r="D21" i="1"/>
  <c r="E21" i="1"/>
  <c r="H19" i="2"/>
  <c r="K19" i="2"/>
  <c r="G21" i="5"/>
  <c r="D22" i="1"/>
  <c r="E22" i="1"/>
  <c r="G22" i="1"/>
  <c r="H20" i="2"/>
  <c r="K20" i="2"/>
  <c r="G22" i="5"/>
  <c r="H21" i="2"/>
  <c r="K21" i="2"/>
  <c r="G23" i="5"/>
  <c r="D9" i="1"/>
  <c r="E9" i="1"/>
  <c r="H7" i="2"/>
  <c r="K7" i="2"/>
  <c r="G9" i="5"/>
  <c r="F5" i="1"/>
  <c r="G5" i="1"/>
  <c r="D6" i="1"/>
  <c r="E6" i="1"/>
  <c r="D7" i="1"/>
  <c r="E7" i="1"/>
  <c r="D4" i="1"/>
  <c r="E4" i="1"/>
  <c r="F4" i="1"/>
  <c r="G4" i="1"/>
  <c r="F53" i="1"/>
  <c r="F52" i="1"/>
  <c r="F54" i="1"/>
  <c r="F7" i="1"/>
  <c r="G7" i="1"/>
  <c r="H7" i="1"/>
  <c r="D8" i="1"/>
  <c r="E8" i="1"/>
  <c r="C7" i="2"/>
  <c r="G7" i="2"/>
  <c r="J7" i="2"/>
  <c r="C8" i="2"/>
  <c r="G8" i="2"/>
  <c r="J8" i="2"/>
  <c r="C9" i="2"/>
  <c r="G9" i="2"/>
  <c r="J9" i="2"/>
  <c r="C10" i="2"/>
  <c r="G10" i="2"/>
  <c r="J10" i="2"/>
  <c r="C11" i="2"/>
  <c r="G11" i="2"/>
  <c r="J11" i="2"/>
  <c r="C12" i="2"/>
  <c r="G12" i="2"/>
  <c r="J12" i="2"/>
  <c r="C13" i="2"/>
  <c r="G13" i="2"/>
  <c r="J13" i="2"/>
  <c r="C14" i="2"/>
  <c r="G14" i="2"/>
  <c r="J14" i="2"/>
  <c r="C15" i="2"/>
  <c r="G15" i="2"/>
  <c r="J15" i="2"/>
  <c r="C16" i="2"/>
  <c r="G16" i="2"/>
  <c r="J16" i="2"/>
  <c r="C17" i="2"/>
  <c r="G17" i="2"/>
  <c r="J17" i="2"/>
  <c r="C18" i="2"/>
  <c r="G18" i="2"/>
  <c r="J18" i="2"/>
  <c r="C19" i="2"/>
  <c r="G19" i="2"/>
  <c r="J19" i="2"/>
  <c r="C20" i="2"/>
  <c r="G20" i="2"/>
  <c r="J20" i="2"/>
  <c r="C21" i="2"/>
  <c r="G21" i="2"/>
  <c r="J21" i="2"/>
  <c r="B51" i="2"/>
  <c r="B60" i="2"/>
  <c r="K5" i="2"/>
  <c r="J5" i="2"/>
  <c r="G7" i="5"/>
  <c r="H31" i="4"/>
  <c r="I31" i="4"/>
  <c r="G8" i="1"/>
  <c r="H10" i="1"/>
  <c r="G9" i="1"/>
  <c r="I9" i="1"/>
  <c r="J9" i="1"/>
  <c r="I4" i="1"/>
  <c r="I7" i="1"/>
  <c r="J6" i="1"/>
  <c r="F7" i="5"/>
  <c r="G6" i="1"/>
  <c r="I17" i="1"/>
  <c r="J17" i="1"/>
  <c r="G17" i="1"/>
  <c r="K5" i="1"/>
  <c r="H5" i="1"/>
  <c r="G21" i="1"/>
  <c r="I14" i="1"/>
  <c r="K14" i="1"/>
  <c r="F15" i="5"/>
  <c r="H14" i="1"/>
  <c r="I19" i="1"/>
  <c r="K19" i="1"/>
  <c r="F20" i="5"/>
  <c r="B67" i="2"/>
  <c r="I11" i="1"/>
  <c r="J11" i="1"/>
  <c r="I15" i="1"/>
  <c r="K15" i="1"/>
  <c r="F16" i="5"/>
  <c r="J19" i="1"/>
  <c r="I21" i="1"/>
  <c r="J21" i="1"/>
  <c r="I8" i="1"/>
  <c r="J8" i="1"/>
  <c r="I16" i="1"/>
  <c r="I20" i="1"/>
  <c r="I22" i="1"/>
  <c r="I12" i="1"/>
  <c r="I13" i="1"/>
  <c r="J13" i="1"/>
  <c r="I10" i="1"/>
  <c r="K10" i="1"/>
  <c r="F11" i="5"/>
  <c r="H22" i="1"/>
  <c r="K22" i="1"/>
  <c r="F23" i="5"/>
  <c r="J15" i="1"/>
  <c r="G13" i="1"/>
  <c r="H18" i="1"/>
  <c r="I18" i="1"/>
  <c r="J18" i="1"/>
  <c r="H4" i="1"/>
  <c r="K4" i="1"/>
  <c r="K11" i="1"/>
  <c r="F12" i="5"/>
  <c r="J22" i="1"/>
  <c r="J10" i="1"/>
  <c r="J14" i="1"/>
  <c r="H9" i="1"/>
  <c r="K9" i="1"/>
  <c r="F10" i="5"/>
  <c r="J20" i="1"/>
  <c r="K20" i="1"/>
  <c r="F21" i="5"/>
  <c r="K17" i="1"/>
  <c r="F18" i="5"/>
  <c r="H17" i="1"/>
  <c r="K16" i="1"/>
  <c r="F17" i="5"/>
  <c r="J16" i="1"/>
  <c r="K18" i="1"/>
  <c r="F19" i="5"/>
  <c r="H6" i="1"/>
  <c r="K6" i="1"/>
  <c r="H8" i="1"/>
  <c r="K8" i="1"/>
  <c r="F9" i="5"/>
  <c r="H21" i="1"/>
  <c r="K21" i="1"/>
  <c r="F22" i="5"/>
  <c r="J12" i="1"/>
  <c r="K12" i="1"/>
  <c r="F13" i="5"/>
  <c r="K13" i="1"/>
  <c r="F14" i="5"/>
  <c r="H13" i="1"/>
  <c r="J7" i="1"/>
  <c r="F8" i="5"/>
  <c r="I6" i="2"/>
  <c r="K7" i="1"/>
  <c r="I3" i="2"/>
  <c r="J4" i="1"/>
  <c r="F5" i="5"/>
  <c r="E17" i="4"/>
  <c r="E14" i="4"/>
  <c r="E7" i="4"/>
  <c r="D7" i="4"/>
  <c r="E15" i="4"/>
  <c r="E5" i="4"/>
  <c r="D5" i="4"/>
  <c r="E10" i="4"/>
  <c r="E18" i="4"/>
  <c r="E12" i="4"/>
  <c r="E21" i="4"/>
  <c r="E23" i="4"/>
  <c r="E8" i="4"/>
  <c r="D8" i="4"/>
  <c r="E11" i="4"/>
  <c r="E19" i="4"/>
  <c r="E6" i="4"/>
  <c r="D6" i="4"/>
  <c r="E20" i="4"/>
  <c r="E9" i="4"/>
  <c r="E13" i="4"/>
  <c r="E22" i="4"/>
  <c r="E16" i="4"/>
  <c r="J3" i="2"/>
  <c r="G5" i="5"/>
  <c r="K3" i="2"/>
  <c r="E6" i="5"/>
  <c r="H6" i="5"/>
  <c r="H10" i="5"/>
  <c r="D10" i="4"/>
  <c r="E10" i="5"/>
  <c r="E5" i="5"/>
  <c r="E8" i="5"/>
  <c r="E7" i="5"/>
  <c r="H7" i="5"/>
  <c r="H9" i="5"/>
  <c r="E9" i="5"/>
  <c r="D9" i="4"/>
  <c r="H18" i="5"/>
  <c r="D18" i="4"/>
  <c r="E18" i="5"/>
  <c r="D11" i="4"/>
  <c r="E11" i="5"/>
  <c r="H11" i="5"/>
  <c r="D15" i="4"/>
  <c r="H15" i="5"/>
  <c r="E15" i="5"/>
  <c r="H16" i="5"/>
  <c r="D16" i="4"/>
  <c r="E16" i="5"/>
  <c r="E22" i="5"/>
  <c r="H22" i="5"/>
  <c r="D22" i="4"/>
  <c r="D23" i="4"/>
  <c r="H23" i="5"/>
  <c r="E23" i="5"/>
  <c r="E14" i="5"/>
  <c r="H14" i="5"/>
  <c r="D14" i="4"/>
  <c r="E12" i="5"/>
  <c r="H12" i="5"/>
  <c r="D12" i="4"/>
  <c r="D20" i="4"/>
  <c r="H20" i="5"/>
  <c r="E20" i="5"/>
  <c r="D19" i="4"/>
  <c r="H19" i="5"/>
  <c r="E19" i="5"/>
  <c r="J6" i="2"/>
  <c r="G8" i="5"/>
  <c r="K6" i="2"/>
  <c r="E13" i="5"/>
  <c r="D13" i="4"/>
  <c r="H13" i="5"/>
  <c r="E21" i="5"/>
  <c r="D21" i="4"/>
  <c r="H21" i="5"/>
  <c r="D17" i="4"/>
  <c r="H17" i="5"/>
  <c r="E17" i="5"/>
  <c r="H5" i="5"/>
  <c r="H8" i="5"/>
  <c r="H29" i="5"/>
</calcChain>
</file>

<file path=xl/sharedStrings.xml><?xml version="1.0" encoding="utf-8"?>
<sst xmlns="http://schemas.openxmlformats.org/spreadsheetml/2006/main" count="306" uniqueCount="194">
  <si>
    <t xml:space="preserve">Note: At this time, KC staff could find no reliable data for the average life span of commercial buildings. </t>
  </si>
  <si>
    <t>Therefore, the average life span of residential buildings is being used until a better approximation can be ascertained.</t>
  </si>
  <si>
    <t>average lief span of buildings, estimated by replacement time method</t>
  </si>
  <si>
    <t>Floorspace
per Building (thousand square feet)</t>
  </si>
  <si>
    <t>Education ....................</t>
  </si>
  <si>
    <t>Food Sales ...................</t>
  </si>
  <si>
    <t>Food Service .................</t>
  </si>
  <si>
    <t>Lodging ......................</t>
  </si>
  <si>
    <t>Retail (Other Than Mall)......</t>
  </si>
  <si>
    <t>Office .......................</t>
  </si>
  <si>
    <t>Public Assembly ..............</t>
  </si>
  <si>
    <t>Public Order and Safety ......</t>
  </si>
  <si>
    <t>Religious Worship ............</t>
  </si>
  <si>
    <t>Service ......................</t>
  </si>
  <si>
    <t>Warehouse and Storage ........</t>
  </si>
  <si>
    <t>Other ........................</t>
  </si>
  <si>
    <t>Vacant .......................</t>
  </si>
  <si>
    <t>MTCO2e per building per year</t>
  </si>
  <si>
    <t>MTCE per thousand square feet per year</t>
  </si>
  <si>
    <t>MTCO2e per thousand square feet per year</t>
  </si>
  <si>
    <t>Energy consumption per building per year (million Btu)</t>
  </si>
  <si>
    <t>Table C3.  Consumption and Gross Energy Intensity for Sum of Major Fuels for Non-Mall Buildings, 2003</t>
  </si>
  <si>
    <t>http://buildingsdatabook.eren.doe.gov/</t>
  </si>
  <si>
    <t>http://www.eia.doe.gov/emeu/recs/sqft-measure.html</t>
  </si>
  <si>
    <t>Square footage measurements and comparisons</t>
  </si>
  <si>
    <t>http://www.wsdot.wa.gov/mapsdata/tdo/annualmileage.htm</t>
  </si>
  <si>
    <t>2006 WA state population</t>
  </si>
  <si>
    <t>http://quickfacts.census.gov/qfd/states/53000.html</t>
  </si>
  <si>
    <t>vehicle miles per person per year</t>
  </si>
  <si>
    <t>gallon gasoline/mile</t>
  </si>
  <si>
    <t>lbs CO2e/gallon gasoline</t>
  </si>
  <si>
    <t>lbs/metric tonne</t>
  </si>
  <si>
    <t>vehicle related GHG emissions (metric tonnes CO2e per person per year)</t>
  </si>
  <si>
    <t>This is the weighted national average fuel efficiency for all cars and 2 axle, 4 wheel light trucks in 2005. This</t>
  </si>
  <si>
    <t>includes pickup trucks, vans and SUVs. The 0.051 gallons/mile used here is the inverse of the more commonly</t>
  </si>
  <si>
    <t>known term “miles/per gallon” (which is 19.75 for these cars and light trucks).</t>
  </si>
  <si>
    <t>Transportation Energy Data Book. 26th Edition. 2006. Chapter 4: Light Vehicles and Characteristics. Calculations</t>
  </si>
  <si>
    <t>http://cta.ornl.gov/data/tedb26/Edition26_Chapter04.pdf</t>
  </si>
  <si>
    <t>Sources</t>
  </si>
  <si>
    <t>All Residential Buildings</t>
  </si>
  <si>
    <t>Average Building Life Span</t>
  </si>
  <si>
    <t>http://www.eia.doe.gov/emeu/cbecs/cbecs2003/detailed_tables_2003/2003set1/2003excel/b2.xls</t>
  </si>
  <si>
    <t># people/ unit</t>
  </si>
  <si>
    <t>Washington State Office of Financial Management</t>
  </si>
  <si>
    <t># employees/thousand square feet</t>
  </si>
  <si>
    <t xml:space="preserve">Note: Data for # employees/thousand square feet is presented by CBECS as square feet/employee. </t>
  </si>
  <si>
    <t>2006 Annual WA State Vehicle Miles Traveled</t>
  </si>
  <si>
    <t>Data was daily VMT. Annual VMT was 365*daily VMT.</t>
  </si>
  <si>
    <t>based on weighted average MPG efficiency of cars and light trucks.</t>
  </si>
  <si>
    <t>http://cta.ornl.gov/data/tedb26/Spreadsheets/Table3_04.xls</t>
  </si>
  <si>
    <t>as well as their combustion.</t>
  </si>
  <si>
    <t>The CO2 emissions estimates for gasoline and diesel include the extraction, transport, and refinement of petroleum</t>
  </si>
  <si>
    <t>All data in black text</t>
  </si>
  <si>
    <t>King County, DNRP. Contact: Matt Kuharic, matt.kuharic@kingcounty.gov</t>
  </si>
  <si>
    <t>MTCO2e/ year/ thousand square feet</t>
  </si>
  <si>
    <t>MTCO2e/ year/ unit</t>
  </si>
  <si>
    <t>Life span transportation related GHG emissions (MTCO2e/ per unit)</t>
  </si>
  <si>
    <t>Life span transportation related GHG emissions (MTCO2e/ thousand sq feet)</t>
  </si>
  <si>
    <t>Single-Family Home</t>
  </si>
  <si>
    <t>Mobile Home</t>
  </si>
  <si>
    <t>Commercial Buildings Energy Consumption Survey commercial energy uses and costs (National Median, 2003)</t>
  </si>
  <si>
    <t>Estimating Household Size for Use in Population Estimates (WA state, 2000 average)</t>
  </si>
  <si>
    <t>Estimate calculated as follows (Washington state, 2006)_</t>
  </si>
  <si>
    <t>Lifespan Energy Related MTCO2e emissions per unit</t>
  </si>
  <si>
    <t>Lifespan Energy Related MTCO2e emissions per thousand square feet</t>
  </si>
  <si>
    <t>Table 6.1.4: Average Annual Carbon Dioxide Emissions for Various Functions</t>
  </si>
  <si>
    <t>Data also at: http://www.eia.doe.gov/emeu/recs/recs2001_ce/ce1-4c_housingunits2001.html</t>
  </si>
  <si>
    <t>Table 3.1.7. 2005 Carbon Dioxide Emission Coefficients for Buildings (MMTCE per Quadrillion Btu)</t>
  </si>
  <si>
    <t>http://buildingsdatabook.eere.energy.gov/?id=view_book_table&amp;TableID=2057</t>
  </si>
  <si>
    <t>Buildings Energy Data Book (National average, 2005)</t>
  </si>
  <si>
    <t>Carbon Coefficient for Buildings</t>
  </si>
  <si>
    <t>Energy consumption for residential buildings</t>
  </si>
  <si>
    <t>Energy consumption for commercial buildings</t>
  </si>
  <si>
    <t>http://www.eia.doe.gov/emeu/cbecs/cbecs2003/detailed_tables_2003/2003set9/2003excel/c3.xls</t>
  </si>
  <si>
    <t>Note: Data in plum color is found in both of the above sources (buildings energy data book and commercial buildings energy consumption survey).</t>
  </si>
  <si>
    <t>Residential floorspace per unit</t>
  </si>
  <si>
    <t>and</t>
  </si>
  <si>
    <t>Floorspace per building</t>
  </si>
  <si>
    <t>2001 Residential Energy Consumption Survey (National Average, 2001)</t>
  </si>
  <si>
    <t>EIA, 2003 Commercial Buildings Energy Consumption Survey (National Average, 2003)</t>
  </si>
  <si>
    <t>2007 Buildings Energy Data Book:  6.1 Quad Definitions and Comparisons (National Average, 2001)</t>
  </si>
  <si>
    <t># people or employees/ thousand square feet</t>
  </si>
  <si>
    <t>Description</t>
  </si>
  <si>
    <t xml:space="preserve">Multi-Family Unit in Large Building </t>
  </si>
  <si>
    <t>Apartments in buildings with more than 5 units</t>
  </si>
  <si>
    <t xml:space="preserve">Multi-Family Unit in Small Building </t>
  </si>
  <si>
    <t>Apartments in building with 2-4 units</t>
  </si>
  <si>
    <t>Unless otherwise specified, this includes both attached and detached buildings</t>
  </si>
  <si>
    <t>Buildings used for retail or wholesale of food.</t>
  </si>
  <si>
    <t>Buildings used for preparation and sale of food and beverages for consumption.</t>
  </si>
  <si>
    <t>Buildings used as diagnostic and treatment facilities for inpatient care.</t>
  </si>
  <si>
    <t>Buildings used as diagnostic and treatment facilities for outpatient care. Doctor's or dentist's office are included here if they use any type of diagnostic medical equipment (if they do not, they are categorized as an office building).</t>
  </si>
  <si>
    <t>Buildings used to offer multiple accommodations for short-term or long-term residents, including skilled nursing and other residential care buildings.</t>
  </si>
  <si>
    <t>Buildings used for the sale and display of goods other than food.</t>
  </si>
  <si>
    <t>Buildings in which people gather for social or recreational activities, whether in private or non-private meeting halls.</t>
  </si>
  <si>
    <t>Buildings used for the preservation of law and order or public safety.</t>
  </si>
  <si>
    <t>Buildings in which people gather for religious activities, (such as chapels, churches, mosques, synagogues, and temples).</t>
  </si>
  <si>
    <t>Buildings in which some type of service is provided, other than food service or retail sales of goods </t>
  </si>
  <si>
    <t>Buildings used to store goods, manufactured products, merchandise, raw materials, or personal belongings (such as self-storage).</t>
  </si>
  <si>
    <t>Buildings that are industrial or agricultural with some retail space; buildings having several different commercial activities that, together, comprise 50 percent or more of the floorspace, but whose largest single activity is agricultural, industrial/ manufacturing, or residential; and all other miscellaneous buildings that do not fit into any other category.</t>
  </si>
  <si>
    <t>Buildings in which more floorspace was vacant than was used for any single commercial activity at the time of interview. Therefore, a vacant building may have some occupied floorspace.</t>
  </si>
  <si>
    <t>Buildings used for academic or technical classroom instruction, such as elementary, middle, or high schools, and classroom buildings on college or university campuses. Buildings on education campuses for which the main use is not classroom are included in the category relating to their use. For example, administration buildings are part of "Office," dormitories are "Lodging," and libraries are "Public Assembly."</t>
  </si>
  <si>
    <t>Buildings used for general office space, professional office, or administrative offices. Doctor's or dentist's office are included here if they do not use any type of diagnostic medical equipment (if they do, they are categorized as an outpatient health care building).</t>
  </si>
  <si>
    <t xml:space="preserve">Commercial Buildings Energy Consumption Survey (CBECS), </t>
  </si>
  <si>
    <t>http://www.eia.doe.gov/emeu/cbecs/pba99/bldgtypes.html</t>
  </si>
  <si>
    <t xml:space="preserve">Description of CBECS Building Types </t>
  </si>
  <si>
    <t>2001 Residential Energy Consumption Survey</t>
  </si>
  <si>
    <t>Residential</t>
  </si>
  <si>
    <t>Commercial</t>
  </si>
  <si>
    <t xml:space="preserve">Sources: </t>
  </si>
  <si>
    <t># thousand sq feet/ unit or building</t>
  </si>
  <si>
    <t># people/ unit or building</t>
  </si>
  <si>
    <t>Columns and Beams</t>
  </si>
  <si>
    <t>Exterior Walls</t>
  </si>
  <si>
    <t>Windows</t>
  </si>
  <si>
    <t>Interior Walls</t>
  </si>
  <si>
    <t>Roofs</t>
  </si>
  <si>
    <t>Buildings Energy Data Book:  7.3 Typical/Average Household</t>
  </si>
  <si>
    <t>Materials Used in the Construction of a 2,272-Square-Foot Single-Family Home, 2000</t>
  </si>
  <si>
    <t>Average Materials in a 2,272-square foot single family home</t>
  </si>
  <si>
    <t>MTCO2e</t>
  </si>
  <si>
    <t>Average GWP  (lbs CO2e/sq ft): Vancouver, Low Rise Building</t>
  </si>
  <si>
    <t>Intermediate Floors</t>
  </si>
  <si>
    <t>Total Embodied Emissions (MTCO2e)</t>
  </si>
  <si>
    <t>Total Embodied Emissions (MTCO2e/ thousand sq feet)</t>
  </si>
  <si>
    <t>Type (Residential) or Principal Activity (Commercial)</t>
  </si>
  <si>
    <t>Health Care Outpatient .................</t>
  </si>
  <si>
    <t>Health Care Inpatient ..................</t>
  </si>
  <si>
    <t>Commercial floorspace per unit</t>
  </si>
  <si>
    <t>See also: NAHB, 2004 Housing Facts, Figures and Trends, Feb. 2004, p. 7.</t>
  </si>
  <si>
    <t>http://buildingsdatabook.eren.doe.gov/?id=view_book_table&amp;TableID=2036&amp;t=xls</t>
  </si>
  <si>
    <t>http://www.athenasmi.ca/tools/ecoCalculator/index.html</t>
  </si>
  <si>
    <t>Athena EcoCalculator</t>
  </si>
  <si>
    <t>Energy Information Administration/Housing Characteristics 1993</t>
  </si>
  <si>
    <t>ftp://ftp.eia.doe.gov/pub/consumption/residential/rx93hcf.pdf</t>
  </si>
  <si>
    <t>Appendix B, Quality of the Data. Pg. 5.</t>
  </si>
  <si>
    <t>Average window size</t>
  </si>
  <si>
    <t>Life span related embodied GHG missions (MTCO2e/ unit)</t>
  </si>
  <si>
    <t>Life span related embodied GHG missions (MTCO2e/ thousand square feet) - See calculations in table below</t>
  </si>
  <si>
    <t>Single Family Homes</t>
  </si>
  <si>
    <t xml:space="preserve">Multi-Family Units in Large and Small Buildings </t>
  </si>
  <si>
    <t>New Housing Construction, 2001</t>
  </si>
  <si>
    <t>Existing Housing Stock, 2001</t>
  </si>
  <si>
    <t>Replacement time:</t>
  </si>
  <si>
    <t>Sources:</t>
  </si>
  <si>
    <t>Quarterly Starts and Completions by Purpose and Design - US and Regions (Excel)</t>
  </si>
  <si>
    <t>http://www.census.gov/const/quarterly_starts_completions_cust.xls</t>
  </si>
  <si>
    <t>See also: http://www.census.gov/const/www/newresconstindex.html</t>
  </si>
  <si>
    <t>Residential Energy Consumption Survey (RECS) 2001</t>
  </si>
  <si>
    <t xml:space="preserve">Tables HC1:Housing Unit Characteristics, Million U.S. Households 2001 </t>
  </si>
  <si>
    <t>Table HC1-4a. Housing Unit Characteristics by Type of Housing Unit, Million U.S. Households, 2001</t>
  </si>
  <si>
    <t>Million U.S. Households, 2001</t>
  </si>
  <si>
    <t>http://www.eia.doe.gov/emeu/recs/recs2001/hc_pdf/housunits/hc1-4a_housingunits2001.pdf</t>
  </si>
  <si>
    <t>See Energy Emissions Worksheet for Calculations</t>
  </si>
  <si>
    <t>(national average, 2001)</t>
  </si>
  <si>
    <t>Note: Single family homes calculation is used for mobile homes as a best estimate life span.</t>
  </si>
  <si>
    <t>Energy Emissions Worksheet</t>
  </si>
  <si>
    <t>Embodied Emissions Worksheet</t>
  </si>
  <si>
    <t>Transportation Emissions Worksheet</t>
  </si>
  <si>
    <t>Definition of Building Types</t>
  </si>
  <si>
    <t>Life-Cycle CO2 Emissions for Various New Vehicles. RENew Northfield.</t>
  </si>
  <si>
    <t>Available: http://renewnorthfield.org/wpcontent/uploads/2006/04/CO2%20emissions.pdf</t>
  </si>
  <si>
    <t>Note: This is a conservative estimate of emissions by fuel consumption because diesel fuel,</t>
  </si>
  <si>
    <t>with a emissions factor of 26.55 lbs CO2e/gallon was not estimated.</t>
  </si>
  <si>
    <t>Note: This analysis combines Multi Unit Structures in both large and small units into one category;</t>
  </si>
  <si>
    <t>the average is used in this case although there is likely a difference</t>
  </si>
  <si>
    <t xml:space="preserve">   In this analysis employees/thousand square feet is calculated by taking the inverse of the CBECS number and multiplying by 1000.</t>
  </si>
  <si>
    <t>Table B2  Totals and Medians of Floorspace, Number of Workers, and Hours of Operation for Non-Mall Buildings, 2003</t>
  </si>
  <si>
    <t>Note: This report states that in 2005, 92.3% of all highway VMT were driven by the above described vehicles.</t>
  </si>
  <si>
    <t>Note: Carbon coefficient in the Energy Data book is in MTCE per Quadrillion Btu.</t>
  </si>
  <si>
    <t xml:space="preserve"> To convert to MTCO2e per million Btu, this factor was divided by 1000 and multiplied by 44/12.</t>
  </si>
  <si>
    <t>Section II: Pavement</t>
  </si>
  <si>
    <t>All Types of Pavement</t>
  </si>
  <si>
    <t>Section I: Buildings</t>
  </si>
  <si>
    <t>MTCO2e/thousand square feet of asphalt or concrete pavement</t>
  </si>
  <si>
    <t>Pavement Emissions Factors</t>
  </si>
  <si>
    <t>Pavement</t>
  </si>
  <si>
    <t xml:space="preserve"> (see below)</t>
  </si>
  <si>
    <t>Total Project Emissions:</t>
  </si>
  <si>
    <t>Square feet per square meter</t>
  </si>
  <si>
    <t>Lbs per kg</t>
  </si>
  <si>
    <t>Athena Assembly Evaluation Tool v2.3- Vancouver Low Rise Building</t>
  </si>
  <si>
    <t>Assembly  Average GWP (kg) per square meter</t>
  </si>
  <si>
    <t># Units</t>
  </si>
  <si>
    <t>Square Feet (in thousands of square feet)</t>
  </si>
  <si>
    <t>Embodied</t>
  </si>
  <si>
    <t>Energy</t>
  </si>
  <si>
    <t>Transportation</t>
  </si>
  <si>
    <t>Lifespan Emissions (MTCO2e)</t>
  </si>
  <si>
    <r>
      <t xml:space="preserve">Emissions </t>
    </r>
    <r>
      <rPr>
        <sz val="10"/>
        <color indexed="12"/>
        <rFont val="Arial"/>
        <family val="2"/>
      </rPr>
      <t>Per Unit</t>
    </r>
    <r>
      <rPr>
        <sz val="10"/>
        <rFont val="Arial"/>
      </rPr>
      <t xml:space="preserve"> or </t>
    </r>
    <r>
      <rPr>
        <sz val="10"/>
        <color indexed="53"/>
        <rFont val="Arial"/>
        <family val="2"/>
      </rPr>
      <t>Per Thousand Square Feet</t>
    </r>
    <r>
      <rPr>
        <sz val="10"/>
        <rFont val="Arial"/>
      </rPr>
      <t xml:space="preserve"> (MTCO2e)</t>
    </r>
  </si>
  <si>
    <t>Square footage measurements and comparisons; http://www.eia.doe.gov/emeu/recs/sqft-measure.html</t>
  </si>
  <si>
    <t>Vehicle related GHG emissions</t>
  </si>
  <si>
    <t>Kimpel, T. and Lowe, T. Research Brief No. 47. August 2007; http://www.ofm.wa.gov/researchbriefs/brief047.pdf</t>
  </si>
  <si>
    <t>Data entry fields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</si>
</sst>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_(* \(#,##0.00\);_(* &quot;-&quot;??_);_(@_)"/>
    <numFmt numFmtId="165" formatCode="_(* #,##0_);_(* \(#,##0\);_(* &quot;-&quot;??_);_(@_)"/>
    <numFmt numFmtId="166" formatCode="_(* #,##0.0_);_(* \(#,##0.0\);_(* &quot;-&quot;??_);_(@_)"/>
    <numFmt numFmtId="167" formatCode="0.0"/>
    <numFmt numFmtId="168" formatCode="@*."/>
    <numFmt numFmtId="169" formatCode="_(* #,##0.000_);_(* \(#,##0.000\);_(* &quot;-&quot;??_);_(@_)"/>
    <numFmt numFmtId="170" formatCode="0.0000"/>
    <numFmt numFmtId="171" formatCode="#,##0.0"/>
  </numFmts>
  <fonts count="36" x14ac:knownFonts="1">
    <font>
      <sz val="10"/>
      <name val="Arial"/>
    </font>
    <font>
      <sz val="10"/>
      <name val="Arial"/>
      <family val="2"/>
    </font>
    <font>
      <sz val="10"/>
      <name val="Helv"/>
    </font>
    <font>
      <sz val="8"/>
      <name val="Arial"/>
      <family val="2"/>
    </font>
    <font>
      <sz val="10"/>
      <name val="Arial"/>
      <family val="2"/>
    </font>
    <font>
      <sz val="10"/>
      <color indexed="12"/>
      <name val="Arial"/>
      <family val="2"/>
    </font>
    <font>
      <sz val="10"/>
      <color indexed="57"/>
      <name val="Arial"/>
      <family val="2"/>
    </font>
    <font>
      <sz val="10"/>
      <color indexed="57"/>
      <name val="Helv"/>
      <family val="2"/>
    </font>
    <font>
      <sz val="10"/>
      <color indexed="57"/>
      <name val="Arial"/>
      <family val="2"/>
    </font>
    <font>
      <b/>
      <sz val="10"/>
      <name val="Arial"/>
      <family val="2"/>
    </font>
    <font>
      <b/>
      <u/>
      <sz val="10"/>
      <name val="Arial"/>
      <family val="2"/>
    </font>
    <font>
      <u/>
      <sz val="10"/>
      <name val="Arial"/>
      <family val="2"/>
    </font>
    <font>
      <sz val="10"/>
      <color indexed="10"/>
      <name val="Arial"/>
      <family val="2"/>
    </font>
    <font>
      <sz val="10"/>
      <color indexed="52"/>
      <name val="Arial"/>
      <family val="2"/>
    </font>
    <font>
      <b/>
      <sz val="10"/>
      <color indexed="52"/>
      <name val="Arial"/>
      <family val="2"/>
    </font>
    <font>
      <sz val="10"/>
      <color indexed="61"/>
      <name val="Arial"/>
      <family val="2"/>
    </font>
    <font>
      <u/>
      <sz val="10"/>
      <color indexed="12"/>
      <name val="Arial"/>
      <family val="2"/>
    </font>
    <font>
      <sz val="10"/>
      <color indexed="53"/>
      <name val="Arial"/>
      <family val="2"/>
    </font>
    <font>
      <sz val="10"/>
      <color indexed="60"/>
      <name val="Arial"/>
      <family val="2"/>
    </font>
    <font>
      <sz val="10"/>
      <color indexed="19"/>
      <name val="Arial"/>
      <family val="2"/>
    </font>
    <font>
      <sz val="10"/>
      <name val="Helv"/>
    </font>
    <font>
      <sz val="10"/>
      <color indexed="12"/>
      <name val="Arial"/>
      <family val="2"/>
    </font>
    <font>
      <sz val="10"/>
      <color indexed="10"/>
      <name val="Arial"/>
      <family val="2"/>
    </font>
    <font>
      <sz val="10"/>
      <color indexed="51"/>
      <name val="Arial"/>
      <family val="2"/>
    </font>
    <font>
      <sz val="10"/>
      <color indexed="12"/>
      <name val="Helv"/>
      <family val="2"/>
    </font>
    <font>
      <b/>
      <sz val="10"/>
      <color indexed="10"/>
      <name val="Arial"/>
      <family val="2"/>
    </font>
    <font>
      <b/>
      <sz val="10"/>
      <color indexed="46"/>
      <name val="Arial"/>
      <family val="2"/>
    </font>
    <font>
      <b/>
      <sz val="10"/>
      <color indexed="15"/>
      <name val="Arial"/>
      <family val="2"/>
    </font>
    <font>
      <sz val="10"/>
      <name val="Arial"/>
      <family val="2"/>
    </font>
    <font>
      <sz val="10"/>
      <color indexed="16"/>
      <name val="Arial"/>
      <family val="2"/>
    </font>
    <font>
      <sz val="10"/>
      <name val="Times New Roman"/>
      <family val="1"/>
    </font>
    <font>
      <u/>
      <sz val="10"/>
      <name val="Times New Roman"/>
      <family val="1"/>
    </font>
    <font>
      <sz val="12"/>
      <name val="Arial"/>
      <family val="2"/>
    </font>
    <font>
      <sz val="10"/>
      <name val="Arial"/>
      <family val="2"/>
    </font>
    <font>
      <sz val="10"/>
      <color indexed="10"/>
      <name val="Arial"/>
      <family val="2"/>
    </font>
    <font>
      <b/>
      <sz val="10"/>
      <color indexed="10"/>
      <name val="Arial"/>
      <family val="2"/>
    </font>
  </fonts>
  <fills count="4">
    <fill>
      <patternFill patternType="none"/>
    </fill>
    <fill>
      <patternFill patternType="gray125"/>
    </fill>
    <fill>
      <patternFill patternType="solid">
        <fgColor indexed="55"/>
        <bgColor indexed="64"/>
      </patternFill>
    </fill>
    <fill>
      <patternFill patternType="solid">
        <fgColor theme="4"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
    <xf numFmtId="0" fontId="0" fillId="0" borderId="0"/>
    <xf numFmtId="164" fontId="1" fillId="0" borderId="0" applyFont="0" applyFill="0" applyBorder="0" applyAlignment="0" applyProtection="0"/>
    <xf numFmtId="0" fontId="16" fillId="0" borderId="0" applyNumberFormat="0" applyFill="0" applyBorder="0" applyAlignment="0" applyProtection="0">
      <alignment vertical="top"/>
      <protection locked="0"/>
    </xf>
    <xf numFmtId="0" fontId="2" fillId="0" borderId="0"/>
  </cellStyleXfs>
  <cellXfs count="218">
    <xf numFmtId="0" fontId="0" fillId="0" borderId="0" xfId="0"/>
    <xf numFmtId="0" fontId="4" fillId="0" borderId="0" xfId="0" applyFont="1" applyFill="1"/>
    <xf numFmtId="0" fontId="6" fillId="0" borderId="0" xfId="0" applyFont="1" applyBorder="1"/>
    <xf numFmtId="0" fontId="7" fillId="0" borderId="0" xfId="3" applyFont="1" applyBorder="1" applyAlignment="1">
      <alignment horizontal="left"/>
    </xf>
    <xf numFmtId="0" fontId="8" fillId="0" borderId="0" xfId="0" applyFont="1" applyBorder="1" applyAlignment="1">
      <alignment vertical="center" wrapText="1"/>
    </xf>
    <xf numFmtId="166" fontId="4" fillId="0" borderId="1" xfId="0" applyNumberFormat="1" applyFont="1" applyFill="1" applyBorder="1"/>
    <xf numFmtId="0" fontId="10" fillId="0" borderId="0" xfId="0" applyFont="1"/>
    <xf numFmtId="0" fontId="4" fillId="0" borderId="0" xfId="0" applyFont="1"/>
    <xf numFmtId="167" fontId="4" fillId="0" borderId="0" xfId="0" applyNumberFormat="1" applyFont="1"/>
    <xf numFmtId="168" fontId="4" fillId="0" borderId="0" xfId="0" applyNumberFormat="1" applyFont="1"/>
    <xf numFmtId="1" fontId="4" fillId="0" borderId="0" xfId="0" applyNumberFormat="1" applyFont="1"/>
    <xf numFmtId="0" fontId="4" fillId="0" borderId="0" xfId="0" applyFont="1" applyAlignment="1"/>
    <xf numFmtId="0" fontId="4" fillId="0" borderId="0" xfId="0" applyFont="1" applyAlignment="1">
      <alignment vertical="center"/>
    </xf>
    <xf numFmtId="0" fontId="12" fillId="0" borderId="0" xfId="0" applyFont="1"/>
    <xf numFmtId="0" fontId="13" fillId="0" borderId="0" xfId="0" applyFont="1" applyAlignment="1">
      <alignment wrapText="1"/>
    </xf>
    <xf numFmtId="0" fontId="13" fillId="0" borderId="0" xfId="0" applyFont="1" applyAlignment="1">
      <alignment horizontal="left"/>
    </xf>
    <xf numFmtId="0" fontId="13" fillId="0" borderId="0" xfId="0" applyFont="1"/>
    <xf numFmtId="0" fontId="13" fillId="0" borderId="0" xfId="0" applyFont="1" applyAlignment="1">
      <alignment vertical="center"/>
    </xf>
    <xf numFmtId="0" fontId="8" fillId="0" borderId="0" xfId="0" applyFont="1" applyAlignment="1">
      <alignment wrapText="1"/>
    </xf>
    <xf numFmtId="0" fontId="8" fillId="0" borderId="0" xfId="0" applyFont="1"/>
    <xf numFmtId="1" fontId="8" fillId="0" borderId="0" xfId="0" applyNumberFormat="1" applyFont="1"/>
    <xf numFmtId="170" fontId="8" fillId="0" borderId="0" xfId="0" applyNumberFormat="1" applyFont="1"/>
    <xf numFmtId="2" fontId="8" fillId="0" borderId="0" xfId="0" applyNumberFormat="1" applyFont="1"/>
    <xf numFmtId="0" fontId="4" fillId="0" borderId="0" xfId="0" applyNumberFormat="1" applyFont="1"/>
    <xf numFmtId="0" fontId="8" fillId="0" borderId="0" xfId="0" applyFont="1" applyBorder="1" applyAlignment="1">
      <alignment vertical="center"/>
    </xf>
    <xf numFmtId="0" fontId="6" fillId="0" borderId="0" xfId="0" applyFont="1" applyBorder="1" applyAlignment="1">
      <alignment vertical="center"/>
    </xf>
    <xf numFmtId="0" fontId="5" fillId="0" borderId="0" xfId="0" applyFont="1"/>
    <xf numFmtId="0" fontId="15" fillId="0" borderId="0" xfId="0" applyFont="1"/>
    <xf numFmtId="0" fontId="15" fillId="0" borderId="0" xfId="0" applyFont="1" applyBorder="1"/>
    <xf numFmtId="0" fontId="15" fillId="0" borderId="0" xfId="0" applyFont="1" applyBorder="1" applyAlignment="1">
      <alignment vertical="center"/>
    </xf>
    <xf numFmtId="167" fontId="12" fillId="0" borderId="1" xfId="0" applyNumberFormat="1" applyFont="1" applyBorder="1"/>
    <xf numFmtId="167" fontId="8" fillId="0" borderId="1" xfId="0" applyNumberFormat="1" applyFont="1" applyBorder="1"/>
    <xf numFmtId="167" fontId="4" fillId="0" borderId="1" xfId="0" applyNumberFormat="1" applyFont="1" applyBorder="1"/>
    <xf numFmtId="1" fontId="4" fillId="0" borderId="1" xfId="0" applyNumberFormat="1" applyFont="1" applyBorder="1"/>
    <xf numFmtId="168" fontId="4" fillId="0" borderId="1" xfId="0" applyNumberFormat="1" applyFont="1" applyBorder="1"/>
    <xf numFmtId="0" fontId="15" fillId="0" borderId="0" xfId="0" applyFont="1" applyAlignment="1">
      <alignment horizontal="left"/>
    </xf>
    <xf numFmtId="0" fontId="4" fillId="0" borderId="1" xfId="0" applyFont="1" applyBorder="1" applyAlignment="1">
      <alignment horizontal="right" wrapText="1"/>
    </xf>
    <xf numFmtId="0" fontId="5" fillId="0" borderId="0" xfId="0" applyFont="1" applyFill="1" applyBorder="1" applyAlignment="1"/>
    <xf numFmtId="167" fontId="14" fillId="0" borderId="1" xfId="0" applyNumberFormat="1" applyFont="1" applyBorder="1"/>
    <xf numFmtId="167" fontId="14" fillId="0" borderId="1" xfId="0" applyNumberFormat="1" applyFont="1" applyBorder="1" applyAlignment="1">
      <alignment horizontal="right"/>
    </xf>
    <xf numFmtId="169" fontId="13" fillId="0" borderId="1" xfId="0" applyNumberFormat="1" applyFont="1" applyFill="1" applyBorder="1"/>
    <xf numFmtId="166" fontId="5" fillId="0" borderId="1" xfId="0" applyNumberFormat="1" applyFont="1" applyFill="1" applyBorder="1"/>
    <xf numFmtId="0" fontId="18" fillId="0" borderId="0" xfId="0" applyFont="1"/>
    <xf numFmtId="0" fontId="4" fillId="0" borderId="0" xfId="3" applyFont="1" applyFill="1" applyBorder="1"/>
    <xf numFmtId="0" fontId="11" fillId="0" borderId="0" xfId="3" applyFont="1" applyFill="1" applyBorder="1" applyAlignment="1">
      <alignment horizontal="left" wrapText="1"/>
    </xf>
    <xf numFmtId="0" fontId="11" fillId="0" borderId="0" xfId="3" applyFont="1" applyFill="1" applyBorder="1" applyAlignment="1">
      <alignment horizontal="center"/>
    </xf>
    <xf numFmtId="0" fontId="11" fillId="0" borderId="0" xfId="0" applyFont="1" applyFill="1" applyBorder="1" applyAlignment="1">
      <alignment horizontal="center"/>
    </xf>
    <xf numFmtId="0" fontId="4" fillId="0" borderId="0" xfId="3" applyFont="1" applyFill="1" applyBorder="1" applyAlignment="1">
      <alignment wrapText="1"/>
    </xf>
    <xf numFmtId="0" fontId="4" fillId="0" borderId="0" xfId="3" applyFont="1" applyBorder="1"/>
    <xf numFmtId="0" fontId="4" fillId="0" borderId="0" xfId="0" applyFont="1" applyAlignment="1">
      <alignment horizontal="center"/>
    </xf>
    <xf numFmtId="165" fontId="4" fillId="0" borderId="0" xfId="1" applyNumberFormat="1" applyFont="1" applyBorder="1" applyAlignment="1">
      <alignment horizontal="centerContinuous"/>
    </xf>
    <xf numFmtId="169" fontId="13" fillId="0" borderId="1" xfId="3" applyNumberFormat="1" applyFont="1" applyFill="1" applyBorder="1"/>
    <xf numFmtId="164" fontId="5" fillId="0" borderId="1" xfId="1" applyFont="1" applyFill="1" applyBorder="1" applyAlignment="1">
      <alignment horizontal="left"/>
    </xf>
    <xf numFmtId="166" fontId="4" fillId="0" borderId="1" xfId="3" applyNumberFormat="1" applyFont="1" applyFill="1" applyBorder="1"/>
    <xf numFmtId="165" fontId="4" fillId="0" borderId="1" xfId="0" applyNumberFormat="1" applyFont="1" applyFill="1" applyBorder="1"/>
    <xf numFmtId="165" fontId="4" fillId="0" borderId="1" xfId="0" applyNumberFormat="1" applyFont="1" applyBorder="1"/>
    <xf numFmtId="2" fontId="4" fillId="0" borderId="0" xfId="0" applyNumberFormat="1" applyFont="1" applyBorder="1" applyAlignment="1" applyProtection="1">
      <alignment horizontal="center"/>
      <protection locked="0"/>
    </xf>
    <xf numFmtId="2" fontId="4" fillId="0" borderId="0" xfId="0" applyNumberFormat="1" applyFont="1" applyBorder="1" applyAlignment="1" applyProtection="1">
      <protection locked="0"/>
    </xf>
    <xf numFmtId="2" fontId="4" fillId="0" borderId="0" xfId="0" applyNumberFormat="1" applyFont="1" applyBorder="1" applyProtection="1">
      <protection locked="0"/>
    </xf>
    <xf numFmtId="0" fontId="4" fillId="0" borderId="0" xfId="0" applyFont="1" applyBorder="1"/>
    <xf numFmtId="0" fontId="4" fillId="0" borderId="0" xfId="0" applyFont="1" applyBorder="1" applyAlignment="1"/>
    <xf numFmtId="0" fontId="8" fillId="0" borderId="0" xfId="0" applyFont="1" applyBorder="1" applyAlignment="1"/>
    <xf numFmtId="0" fontId="8" fillId="0" borderId="0" xfId="3" applyFont="1" applyBorder="1" applyAlignment="1">
      <alignment horizontal="left"/>
    </xf>
    <xf numFmtId="0" fontId="15" fillId="0" borderId="0" xfId="0" applyFont="1" applyBorder="1" applyAlignment="1"/>
    <xf numFmtId="0" fontId="13" fillId="0" borderId="0" xfId="0" applyFont="1" applyBorder="1" applyAlignment="1" applyProtection="1">
      <alignment horizontal="left"/>
      <protection locked="0"/>
    </xf>
    <xf numFmtId="4" fontId="12" fillId="0" borderId="0" xfId="0" applyNumberFormat="1" applyFont="1" applyAlignment="1">
      <alignment horizontal="right"/>
    </xf>
    <xf numFmtId="166" fontId="15" fillId="0" borderId="1" xfId="0" applyNumberFormat="1" applyFont="1" applyFill="1" applyBorder="1" applyAlignment="1">
      <alignment horizontal="right"/>
    </xf>
    <xf numFmtId="166" fontId="8" fillId="0" borderId="1" xfId="0" applyNumberFormat="1" applyFont="1" applyFill="1" applyBorder="1" applyAlignment="1">
      <alignment horizontal="right"/>
    </xf>
    <xf numFmtId="0" fontId="4" fillId="0" borderId="0" xfId="0" applyFont="1" applyFill="1" applyBorder="1" applyAlignment="1">
      <alignment horizontal="center" wrapText="1"/>
    </xf>
    <xf numFmtId="167" fontId="4" fillId="0" borderId="0" xfId="0" applyNumberFormat="1" applyFont="1" applyFill="1" applyAlignment="1">
      <alignment horizontal="right"/>
    </xf>
    <xf numFmtId="168" fontId="4" fillId="0" borderId="0" xfId="0" applyNumberFormat="1" applyFont="1" applyFill="1" applyBorder="1"/>
    <xf numFmtId="0" fontId="5" fillId="0" borderId="0" xfId="3" applyFont="1" applyFill="1" applyBorder="1" applyAlignment="1"/>
    <xf numFmtId="0" fontId="5" fillId="0" borderId="0" xfId="3" applyFont="1" applyFill="1" applyBorder="1" applyAlignment="1">
      <alignment horizontal="left"/>
    </xf>
    <xf numFmtId="0" fontId="13" fillId="0" borderId="0" xfId="3" applyFont="1" applyFill="1" applyBorder="1" applyAlignment="1">
      <alignment horizontal="left"/>
    </xf>
    <xf numFmtId="0" fontId="17" fillId="0" borderId="0" xfId="3" applyFont="1" applyFill="1" applyBorder="1" applyAlignment="1">
      <alignment horizontal="left"/>
    </xf>
    <xf numFmtId="0" fontId="17" fillId="0" borderId="0" xfId="0" applyFont="1" applyFill="1" applyBorder="1" applyAlignment="1"/>
    <xf numFmtId="0" fontId="12" fillId="0" borderId="0" xfId="3" applyFont="1" applyFill="1" applyBorder="1" applyAlignment="1">
      <alignment horizontal="left"/>
    </xf>
    <xf numFmtId="0" fontId="4" fillId="0" borderId="0" xfId="3" applyFont="1" applyBorder="1" applyAlignment="1">
      <alignment horizontal="left"/>
    </xf>
    <xf numFmtId="0" fontId="9" fillId="0" borderId="0" xfId="0" applyFont="1" applyFill="1" applyBorder="1" applyAlignment="1">
      <alignment horizontal="center" wrapText="1"/>
    </xf>
    <xf numFmtId="0" fontId="4" fillId="0" borderId="1" xfId="3" applyFont="1" applyBorder="1" applyAlignment="1">
      <alignment horizontal="right" wrapText="1"/>
    </xf>
    <xf numFmtId="0" fontId="4" fillId="0" borderId="1" xfId="3" applyFont="1" applyFill="1" applyBorder="1" applyAlignment="1">
      <alignment horizontal="right" wrapText="1"/>
    </xf>
    <xf numFmtId="0" fontId="4" fillId="0" borderId="1" xfId="0" applyFont="1" applyFill="1" applyBorder="1" applyAlignment="1">
      <alignment horizontal="right" wrapText="1"/>
    </xf>
    <xf numFmtId="0" fontId="4" fillId="0" borderId="0" xfId="0" applyFont="1" applyAlignment="1">
      <alignment horizontal="left"/>
    </xf>
    <xf numFmtId="0" fontId="5" fillId="0" borderId="0" xfId="0" applyFont="1" applyBorder="1" applyAlignment="1">
      <alignment horizontal="left"/>
    </xf>
    <xf numFmtId="0" fontId="5" fillId="0" borderId="0" xfId="0" applyFont="1" applyAlignment="1">
      <alignment horizontal="left" wrapText="1"/>
    </xf>
    <xf numFmtId="0" fontId="5" fillId="0" borderId="0" xfId="0" applyFont="1" applyAlignment="1">
      <alignment horizontal="left"/>
    </xf>
    <xf numFmtId="0" fontId="8" fillId="0" borderId="0" xfId="0" applyFont="1" applyAlignment="1">
      <alignment horizontal="left" wrapText="1"/>
    </xf>
    <xf numFmtId="0" fontId="8" fillId="0" borderId="0" xfId="0" applyFont="1" applyAlignment="1">
      <alignment horizontal="left"/>
    </xf>
    <xf numFmtId="0" fontId="12" fillId="0" borderId="0" xfId="0" applyFont="1" applyAlignment="1">
      <alignment horizontal="left"/>
    </xf>
    <xf numFmtId="166" fontId="15" fillId="0" borderId="1" xfId="1" applyNumberFormat="1" applyFont="1" applyFill="1" applyBorder="1" applyAlignment="1">
      <alignment horizontal="left"/>
    </xf>
    <xf numFmtId="168" fontId="4" fillId="0" borderId="1" xfId="0" applyNumberFormat="1" applyFont="1" applyFill="1" applyBorder="1"/>
    <xf numFmtId="0" fontId="19" fillId="0" borderId="0" xfId="3" applyFont="1" applyFill="1" applyBorder="1" applyAlignment="1">
      <alignment horizontal="left"/>
    </xf>
    <xf numFmtId="0" fontId="19" fillId="0" borderId="0" xfId="0" applyFont="1" applyAlignment="1">
      <alignment horizontal="left"/>
    </xf>
    <xf numFmtId="0" fontId="0" fillId="0" borderId="0" xfId="0" applyAlignment="1"/>
    <xf numFmtId="0" fontId="2" fillId="0" borderId="0" xfId="3" applyFont="1" applyFill="1" applyBorder="1" applyAlignment="1"/>
    <xf numFmtId="0" fontId="0" fillId="0" borderId="0" xfId="0" applyFill="1" applyAlignment="1"/>
    <xf numFmtId="168" fontId="11" fillId="0" borderId="0" xfId="0" applyNumberFormat="1" applyFont="1" applyFill="1" applyBorder="1" applyAlignment="1">
      <alignment wrapText="1"/>
    </xf>
    <xf numFmtId="4" fontId="19" fillId="0" borderId="1" xfId="0" applyNumberFormat="1" applyFont="1" applyBorder="1" applyAlignment="1">
      <alignment horizontal="right"/>
    </xf>
    <xf numFmtId="0" fontId="15" fillId="0" borderId="0" xfId="0" applyFont="1" applyAlignment="1">
      <alignment wrapText="1"/>
    </xf>
    <xf numFmtId="167" fontId="4" fillId="0" borderId="1" xfId="0" applyNumberFormat="1" applyFont="1" applyBorder="1" applyAlignment="1">
      <alignment horizontal="right" wrapText="1"/>
    </xf>
    <xf numFmtId="167" fontId="4" fillId="0" borderId="1" xfId="0" applyNumberFormat="1" applyFont="1" applyBorder="1" applyAlignment="1">
      <alignment horizontal="right"/>
    </xf>
    <xf numFmtId="167" fontId="4" fillId="0" borderId="0" xfId="0" applyNumberFormat="1" applyFont="1" applyBorder="1"/>
    <xf numFmtId="167" fontId="4" fillId="0" borderId="0" xfId="0" applyNumberFormat="1" applyFont="1" applyBorder="1" applyAlignment="1">
      <alignment horizontal="right"/>
    </xf>
    <xf numFmtId="3" fontId="4" fillId="0" borderId="1" xfId="0" applyNumberFormat="1" applyFont="1" applyBorder="1" applyAlignment="1">
      <alignment horizontal="right"/>
    </xf>
    <xf numFmtId="4" fontId="19" fillId="0" borderId="0" xfId="0" applyNumberFormat="1" applyFont="1" applyFill="1" applyAlignment="1">
      <alignment horizontal="right"/>
    </xf>
    <xf numFmtId="168" fontId="20" fillId="0" borderId="1" xfId="3" applyNumberFormat="1" applyFont="1" applyFill="1" applyBorder="1" applyAlignment="1">
      <alignment wrapText="1"/>
    </xf>
    <xf numFmtId="4" fontId="12" fillId="0" borderId="1" xfId="0" applyNumberFormat="1" applyFont="1" applyBorder="1" applyAlignment="1">
      <alignment horizontal="right"/>
    </xf>
    <xf numFmtId="0" fontId="19" fillId="0" borderId="0" xfId="0" applyFont="1" applyBorder="1" applyAlignment="1">
      <alignment horizontal="left" wrapText="1"/>
    </xf>
    <xf numFmtId="167" fontId="9" fillId="0" borderId="0" xfId="0" applyNumberFormat="1" applyFont="1" applyBorder="1" applyAlignment="1">
      <alignment horizontal="right"/>
    </xf>
    <xf numFmtId="167" fontId="9" fillId="0" borderId="0" xfId="0" applyNumberFormat="1" applyFont="1" applyBorder="1"/>
    <xf numFmtId="0" fontId="8" fillId="0" borderId="0" xfId="0" applyFont="1" applyBorder="1"/>
    <xf numFmtId="167" fontId="12" fillId="0" borderId="1" xfId="0" applyNumberFormat="1" applyFont="1" applyFill="1" applyBorder="1" applyAlignment="1">
      <alignment horizontal="right" wrapText="1"/>
    </xf>
    <xf numFmtId="167" fontId="12" fillId="0" borderId="1" xfId="0" applyNumberFormat="1" applyFont="1" applyBorder="1" applyAlignment="1">
      <alignment horizontal="right"/>
    </xf>
    <xf numFmtId="167" fontId="12" fillId="0" borderId="1" xfId="0" applyNumberFormat="1" applyFont="1" applyBorder="1" applyAlignment="1">
      <alignment horizontal="right" wrapText="1"/>
    </xf>
    <xf numFmtId="167" fontId="23" fillId="0" borderId="1" xfId="0" applyNumberFormat="1" applyFont="1" applyBorder="1" applyAlignment="1">
      <alignment horizontal="right"/>
    </xf>
    <xf numFmtId="167" fontId="5" fillId="0" borderId="1" xfId="0" applyNumberFormat="1" applyFont="1" applyBorder="1" applyAlignment="1">
      <alignment horizontal="right" wrapText="1"/>
    </xf>
    <xf numFmtId="0" fontId="5" fillId="0" borderId="0" xfId="0" applyFont="1" applyBorder="1" applyAlignment="1">
      <alignment wrapText="1"/>
    </xf>
    <xf numFmtId="0" fontId="5" fillId="0" borderId="0" xfId="0" applyFont="1" applyBorder="1" applyAlignment="1"/>
    <xf numFmtId="0" fontId="12" fillId="0" borderId="0" xfId="0" applyFont="1" applyBorder="1" applyAlignment="1">
      <alignment wrapText="1"/>
    </xf>
    <xf numFmtId="0" fontId="12" fillId="0" borderId="0" xfId="0" applyFont="1" applyBorder="1" applyAlignment="1"/>
    <xf numFmtId="0" fontId="23" fillId="0" borderId="0" xfId="0" applyFont="1" applyBorder="1" applyAlignment="1"/>
    <xf numFmtId="0" fontId="23" fillId="0" borderId="0" xfId="0" applyFont="1"/>
    <xf numFmtId="0" fontId="9" fillId="0" borderId="1" xfId="0" applyFont="1" applyBorder="1" applyAlignment="1">
      <alignment wrapText="1"/>
    </xf>
    <xf numFmtId="168" fontId="24" fillId="0" borderId="1" xfId="3" applyNumberFormat="1" applyFont="1" applyFill="1" applyBorder="1" applyAlignment="1">
      <alignment wrapText="1"/>
    </xf>
    <xf numFmtId="0" fontId="21" fillId="0" borderId="1" xfId="0" applyFont="1" applyBorder="1" applyAlignment="1">
      <alignment wrapText="1"/>
    </xf>
    <xf numFmtId="0" fontId="21" fillId="0" borderId="0" xfId="0" applyFont="1" applyAlignment="1"/>
    <xf numFmtId="0" fontId="21" fillId="0" borderId="0" xfId="3" applyFont="1" applyFill="1" applyBorder="1" applyAlignment="1">
      <alignment horizontal="left"/>
    </xf>
    <xf numFmtId="168" fontId="12" fillId="0" borderId="1" xfId="0" applyNumberFormat="1" applyFont="1" applyFill="1" applyBorder="1" applyAlignment="1">
      <alignment wrapText="1"/>
    </xf>
    <xf numFmtId="0" fontId="12" fillId="0" borderId="1" xfId="0" applyFont="1" applyBorder="1" applyAlignment="1">
      <alignment wrapText="1"/>
    </xf>
    <xf numFmtId="168" fontId="12" fillId="0" borderId="1" xfId="0" applyNumberFormat="1" applyFont="1" applyBorder="1"/>
    <xf numFmtId="0" fontId="22" fillId="0" borderId="0" xfId="0" applyFont="1" applyAlignment="1"/>
    <xf numFmtId="0" fontId="22" fillId="0" borderId="0" xfId="0" applyFont="1"/>
    <xf numFmtId="0" fontId="4" fillId="0" borderId="0" xfId="0" applyFont="1" applyAlignment="1">
      <alignment horizontal="right"/>
    </xf>
    <xf numFmtId="0" fontId="4" fillId="0" borderId="1" xfId="0" applyNumberFormat="1" applyFont="1" applyBorder="1" applyAlignment="1">
      <alignment horizontal="right"/>
    </xf>
    <xf numFmtId="0" fontId="4" fillId="0" borderId="1" xfId="0" applyNumberFormat="1" applyFont="1" applyBorder="1" applyAlignment="1">
      <alignment horizontal="right" vertical="center" wrapText="1"/>
    </xf>
    <xf numFmtId="0" fontId="4" fillId="0" borderId="1" xfId="3" applyNumberFormat="1" applyFont="1" applyFill="1" applyBorder="1" applyAlignment="1">
      <alignment horizontal="right" wrapText="1"/>
    </xf>
    <xf numFmtId="0" fontId="4" fillId="0" borderId="1" xfId="0" applyNumberFormat="1" applyFont="1" applyBorder="1" applyAlignment="1">
      <alignment horizontal="right" wrapText="1"/>
    </xf>
    <xf numFmtId="0" fontId="11" fillId="0" borderId="0" xfId="0" applyFont="1" applyAlignment="1">
      <alignment horizontal="right"/>
    </xf>
    <xf numFmtId="0" fontId="26" fillId="0" borderId="0" xfId="0" applyNumberFormat="1" applyFont="1" applyBorder="1" applyAlignment="1">
      <alignment horizontal="right" wrapText="1"/>
    </xf>
    <xf numFmtId="0" fontId="26" fillId="0" borderId="0" xfId="0" applyFont="1" applyBorder="1" applyAlignment="1">
      <alignment horizontal="left"/>
    </xf>
    <xf numFmtId="0" fontId="4" fillId="0" borderId="0" xfId="0" applyFont="1" applyBorder="1" applyAlignment="1">
      <alignment horizontal="right"/>
    </xf>
    <xf numFmtId="0" fontId="26" fillId="0" borderId="0" xfId="0" applyFont="1" applyBorder="1" applyAlignment="1">
      <alignment horizontal="right"/>
    </xf>
    <xf numFmtId="0" fontId="27" fillId="0" borderId="0" xfId="0" applyFont="1" applyBorder="1" applyAlignment="1">
      <alignment horizontal="right" wrapText="1"/>
    </xf>
    <xf numFmtId="0" fontId="27" fillId="0" borderId="0" xfId="0" applyFont="1" applyBorder="1"/>
    <xf numFmtId="0" fontId="27" fillId="0" borderId="0" xfId="0" applyFont="1" applyBorder="1" applyAlignment="1">
      <alignment horizontal="right"/>
    </xf>
    <xf numFmtId="0" fontId="27" fillId="0" borderId="0" xfId="0" applyFont="1" applyBorder="1" applyAlignment="1">
      <alignment horizontal="left"/>
    </xf>
    <xf numFmtId="167" fontId="18" fillId="0" borderId="1" xfId="0" applyNumberFormat="1" applyFont="1" applyFill="1" applyBorder="1"/>
    <xf numFmtId="0" fontId="18" fillId="0" borderId="0" xfId="0" applyFont="1" applyAlignment="1">
      <alignment horizontal="right" wrapText="1"/>
    </xf>
    <xf numFmtId="167" fontId="18" fillId="0" borderId="1" xfId="0" applyNumberFormat="1" applyFont="1" applyBorder="1" applyAlignment="1">
      <alignment horizontal="right"/>
    </xf>
    <xf numFmtId="0" fontId="18" fillId="0" borderId="0" xfId="0" applyFont="1" applyAlignment="1">
      <alignment horizontal="left" wrapText="1"/>
    </xf>
    <xf numFmtId="3" fontId="26" fillId="0" borderId="1" xfId="0" applyNumberFormat="1" applyFont="1" applyBorder="1" applyAlignment="1">
      <alignment horizontal="right"/>
    </xf>
    <xf numFmtId="3" fontId="27" fillId="0" borderId="1" xfId="0" applyNumberFormat="1" applyFont="1" applyBorder="1" applyAlignment="1">
      <alignment horizontal="right"/>
    </xf>
    <xf numFmtId="3" fontId="27" fillId="0" borderId="2" xfId="0" applyNumberFormat="1" applyFont="1" applyBorder="1" applyAlignment="1">
      <alignment horizontal="right"/>
    </xf>
    <xf numFmtId="3" fontId="26" fillId="0" borderId="3" xfId="0" applyNumberFormat="1" applyFont="1" applyBorder="1"/>
    <xf numFmtId="167" fontId="29" fillId="0" borderId="4" xfId="0" applyNumberFormat="1" applyFont="1" applyBorder="1"/>
    <xf numFmtId="0" fontId="4" fillId="0" borderId="0" xfId="0" applyFont="1" applyFill="1" applyBorder="1" applyAlignment="1">
      <alignment horizontal="left"/>
    </xf>
    <xf numFmtId="171" fontId="29" fillId="0" borderId="1" xfId="0" applyNumberFormat="1" applyFont="1" applyBorder="1" applyAlignment="1">
      <alignment horizontal="right"/>
    </xf>
    <xf numFmtId="0" fontId="1" fillId="0" borderId="1" xfId="0" applyFont="1" applyBorder="1" applyAlignment="1">
      <alignment horizontal="right" wrapText="1"/>
    </xf>
    <xf numFmtId="0" fontId="28" fillId="0" borderId="1" xfId="0" applyFont="1" applyBorder="1" applyAlignment="1">
      <alignment horizontal="right" wrapText="1"/>
    </xf>
    <xf numFmtId="2" fontId="1" fillId="0" borderId="1" xfId="0" applyNumberFormat="1" applyFont="1" applyBorder="1" applyAlignment="1">
      <alignment horizontal="right" wrapText="1"/>
    </xf>
    <xf numFmtId="3" fontId="8" fillId="0" borderId="0" xfId="0" applyNumberFormat="1" applyFont="1"/>
    <xf numFmtId="4" fontId="19" fillId="0" borderId="1" xfId="0" applyNumberFormat="1" applyFont="1" applyFill="1" applyBorder="1" applyAlignment="1">
      <alignment horizontal="right"/>
    </xf>
    <xf numFmtId="0" fontId="12" fillId="0" borderId="0" xfId="0" applyFont="1" applyBorder="1" applyAlignment="1">
      <alignment horizontal="left" wrapText="1"/>
    </xf>
    <xf numFmtId="0" fontId="11" fillId="0" borderId="0" xfId="3" applyFont="1" applyFill="1" applyBorder="1"/>
    <xf numFmtId="3" fontId="0" fillId="2" borderId="1" xfId="0" applyNumberFormat="1" applyFill="1" applyBorder="1"/>
    <xf numFmtId="0" fontId="9" fillId="0" borderId="0" xfId="0" applyFont="1"/>
    <xf numFmtId="168" fontId="9" fillId="0" borderId="0" xfId="0" applyNumberFormat="1" applyFont="1" applyFill="1" applyBorder="1"/>
    <xf numFmtId="0" fontId="30" fillId="0" borderId="0" xfId="0" applyFont="1" applyAlignment="1">
      <alignment horizontal="left" indent="2"/>
    </xf>
    <xf numFmtId="0" fontId="31" fillId="0" borderId="0" xfId="0" applyFont="1" applyAlignment="1">
      <alignment horizontal="left" indent="2"/>
    </xf>
    <xf numFmtId="168" fontId="4" fillId="0" borderId="0" xfId="0" applyNumberFormat="1" applyFont="1" applyBorder="1"/>
    <xf numFmtId="166" fontId="8" fillId="0" borderId="0" xfId="0" applyNumberFormat="1" applyFont="1" applyFill="1" applyBorder="1" applyAlignment="1">
      <alignment horizontal="right"/>
    </xf>
    <xf numFmtId="3" fontId="4" fillId="0" borderId="0" xfId="0" applyNumberFormat="1" applyFont="1" applyBorder="1" applyAlignment="1">
      <alignment horizontal="right"/>
    </xf>
    <xf numFmtId="1" fontId="4" fillId="0" borderId="0" xfId="0" applyNumberFormat="1" applyFont="1" applyBorder="1"/>
    <xf numFmtId="1" fontId="26" fillId="0" borderId="1" xfId="0" applyNumberFormat="1" applyFont="1" applyBorder="1"/>
    <xf numFmtId="0" fontId="26" fillId="0" borderId="0" xfId="0" applyFont="1"/>
    <xf numFmtId="0" fontId="26" fillId="0" borderId="0" xfId="0" applyFont="1" applyAlignment="1">
      <alignment wrapText="1"/>
    </xf>
    <xf numFmtId="0" fontId="16" fillId="0" borderId="0" xfId="2" applyAlignment="1" applyProtection="1">
      <alignment horizontal="left" indent="2"/>
    </xf>
    <xf numFmtId="2" fontId="5" fillId="0" borderId="0" xfId="0" applyNumberFormat="1" applyFont="1"/>
    <xf numFmtId="0" fontId="0" fillId="0" borderId="0" xfId="0" applyFill="1"/>
    <xf numFmtId="3" fontId="0" fillId="0" borderId="0" xfId="0" applyNumberFormat="1" applyFill="1"/>
    <xf numFmtId="0" fontId="6" fillId="0" borderId="0" xfId="0" applyFont="1" applyAlignment="1">
      <alignment wrapText="1"/>
    </xf>
    <xf numFmtId="0" fontId="0" fillId="0" borderId="0" xfId="0" applyProtection="1">
      <protection locked="0"/>
    </xf>
    <xf numFmtId="0" fontId="9" fillId="0" borderId="0" xfId="0" applyFont="1" applyProtection="1">
      <protection locked="0"/>
    </xf>
    <xf numFmtId="0" fontId="0" fillId="0" borderId="0" xfId="0" applyBorder="1" applyAlignment="1" applyProtection="1">
      <alignment horizontal="center" wrapText="1"/>
      <protection locked="0"/>
    </xf>
    <xf numFmtId="0" fontId="1" fillId="0" borderId="0" xfId="0" applyFont="1" applyBorder="1" applyAlignment="1" applyProtection="1">
      <alignment horizontal="center" wrapText="1"/>
      <protection locked="0"/>
    </xf>
    <xf numFmtId="0" fontId="4" fillId="0" borderId="1" xfId="0" applyFont="1" applyBorder="1" applyAlignment="1" applyProtection="1">
      <alignment horizontal="center" wrapText="1"/>
      <protection locked="0"/>
    </xf>
    <xf numFmtId="0" fontId="4" fillId="0" borderId="1" xfId="0" applyFont="1" applyBorder="1" applyAlignment="1" applyProtection="1">
      <alignment horizontal="right" wrapText="1"/>
      <protection locked="0"/>
    </xf>
    <xf numFmtId="0" fontId="33" fillId="0" borderId="1" xfId="0" applyFont="1" applyBorder="1" applyAlignment="1" applyProtection="1">
      <alignment horizontal="center" wrapText="1"/>
      <protection locked="0"/>
    </xf>
    <xf numFmtId="0" fontId="25" fillId="0" borderId="1" xfId="0" applyFont="1" applyBorder="1" applyAlignment="1" applyProtection="1">
      <alignment horizontal="center" wrapText="1"/>
      <protection locked="0"/>
    </xf>
    <xf numFmtId="3" fontId="33" fillId="2" borderId="1" xfId="0" applyNumberFormat="1" applyFont="1" applyFill="1" applyBorder="1" applyProtection="1">
      <protection locked="0"/>
    </xf>
    <xf numFmtId="3" fontId="0" fillId="2" borderId="1" xfId="0" applyNumberFormat="1" applyFill="1" applyBorder="1" applyProtection="1">
      <protection locked="0"/>
    </xf>
    <xf numFmtId="0" fontId="33" fillId="0" borderId="0" xfId="0" applyFont="1" applyProtection="1">
      <protection locked="0"/>
    </xf>
    <xf numFmtId="168" fontId="9" fillId="0" borderId="0" xfId="0" applyNumberFormat="1" applyFont="1" applyFill="1" applyBorder="1" applyProtection="1">
      <protection locked="0"/>
    </xf>
    <xf numFmtId="4" fontId="33" fillId="0" borderId="1" xfId="0" applyNumberFormat="1" applyFont="1" applyBorder="1" applyAlignment="1" applyProtection="1">
      <alignment horizontal="right"/>
      <protection locked="0"/>
    </xf>
    <xf numFmtId="0" fontId="4" fillId="0" borderId="0" xfId="0" applyNumberFormat="1" applyFont="1" applyFill="1" applyBorder="1" applyProtection="1">
      <protection locked="0"/>
    </xf>
    <xf numFmtId="0" fontId="34" fillId="0" borderId="0" xfId="0" applyFont="1" applyProtection="1">
      <protection locked="0"/>
    </xf>
    <xf numFmtId="0" fontId="35" fillId="0" borderId="0" xfId="0" applyFont="1" applyAlignment="1" applyProtection="1">
      <alignment horizontal="right"/>
      <protection locked="0"/>
    </xf>
    <xf numFmtId="0" fontId="32" fillId="0" borderId="0" xfId="0" applyFont="1" applyAlignment="1" applyProtection="1">
      <alignment horizontal="left" indent="1"/>
      <protection locked="0"/>
    </xf>
    <xf numFmtId="0" fontId="32" fillId="0" borderId="0" xfId="0" applyFont="1" applyAlignment="1" applyProtection="1">
      <alignment horizontal="left" indent="2"/>
      <protection locked="0"/>
    </xf>
    <xf numFmtId="0" fontId="32" fillId="0" borderId="0" xfId="0" applyFont="1" applyProtection="1">
      <protection locked="0"/>
    </xf>
    <xf numFmtId="3" fontId="5" fillId="0" borderId="1" xfId="0" applyNumberFormat="1" applyFont="1" applyFill="1" applyBorder="1" applyProtection="1"/>
    <xf numFmtId="1" fontId="25" fillId="0" borderId="1" xfId="0" applyNumberFormat="1" applyFont="1" applyBorder="1" applyProtection="1"/>
    <xf numFmtId="3" fontId="17" fillId="0" borderId="1" xfId="0" applyNumberFormat="1" applyFont="1" applyFill="1" applyBorder="1" applyProtection="1"/>
    <xf numFmtId="3" fontId="17" fillId="0" borderId="1" xfId="0" applyNumberFormat="1" applyFont="1" applyBorder="1" applyAlignment="1" applyProtection="1">
      <alignment horizontal="right"/>
    </xf>
    <xf numFmtId="0" fontId="33" fillId="0" borderId="0" xfId="0" applyFont="1" applyProtection="1"/>
    <xf numFmtId="0" fontId="0" fillId="0" borderId="0" xfId="0" applyProtection="1"/>
    <xf numFmtId="3" fontId="0" fillId="2" borderId="1" xfId="0" applyNumberFormat="1" applyFill="1" applyBorder="1" applyProtection="1"/>
    <xf numFmtId="0" fontId="35" fillId="0" borderId="0" xfId="0" applyFont="1" applyAlignment="1" applyProtection="1">
      <alignment horizontal="right"/>
    </xf>
    <xf numFmtId="1" fontId="35" fillId="0" borderId="1" xfId="0" applyNumberFormat="1" applyFont="1" applyBorder="1" applyProtection="1"/>
    <xf numFmtId="168" fontId="20" fillId="0" borderId="1" xfId="3" applyNumberFormat="1" applyFont="1" applyFill="1" applyBorder="1" applyAlignment="1" applyProtection="1">
      <alignment wrapText="1"/>
    </xf>
    <xf numFmtId="168" fontId="4" fillId="0" borderId="1" xfId="0" applyNumberFormat="1" applyFont="1" applyBorder="1" applyProtection="1"/>
    <xf numFmtId="168" fontId="9" fillId="0" borderId="0" xfId="0" applyNumberFormat="1" applyFont="1" applyFill="1" applyBorder="1" applyProtection="1"/>
    <xf numFmtId="0" fontId="33" fillId="3" borderId="1" xfId="3" applyNumberFormat="1" applyFont="1" applyFill="1" applyBorder="1" applyAlignment="1" applyProtection="1">
      <alignment horizontal="right" wrapText="1"/>
      <protection locked="0"/>
    </xf>
    <xf numFmtId="171" fontId="33" fillId="3" borderId="1" xfId="0" applyNumberFormat="1" applyFont="1" applyFill="1" applyBorder="1" applyAlignment="1" applyProtection="1">
      <alignment horizontal="right"/>
      <protection locked="0"/>
    </xf>
    <xf numFmtId="0" fontId="33" fillId="3" borderId="0" xfId="0" applyNumberFormat="1" applyFont="1" applyFill="1" applyBorder="1" applyProtection="1">
      <protection locked="0"/>
    </xf>
    <xf numFmtId="0" fontId="0" fillId="0" borderId="1" xfId="0" applyBorder="1" applyAlignment="1" applyProtection="1">
      <alignment horizontal="center" wrapText="1"/>
      <protection locked="0"/>
    </xf>
    <xf numFmtId="0" fontId="0" fillId="0" borderId="0" xfId="0" applyAlignment="1" applyProtection="1">
      <alignment horizontal="center"/>
      <protection locked="0"/>
    </xf>
    <xf numFmtId="0" fontId="0" fillId="0" borderId="0" xfId="0" applyAlignment="1">
      <alignment horizontal="center"/>
    </xf>
  </cellXfs>
  <cellStyles count="4">
    <cellStyle name="Comma" xfId="1" builtinId="3"/>
    <cellStyle name="Hyperlink" xfId="2" builtinId="8"/>
    <cellStyle name="Normal" xfId="0" builtinId="0"/>
    <cellStyle name="Normal_Output" xfId="3"/>
  </cellStyles>
  <dxfs count="1">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 Id="rId2"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228600</xdr:colOff>
      <xdr:row>0</xdr:row>
      <xdr:rowOff>47625</xdr:rowOff>
    </xdr:from>
    <xdr:to>
      <xdr:col>7</xdr:col>
      <xdr:colOff>495300</xdr:colOff>
      <xdr:row>0</xdr:row>
      <xdr:rowOff>1103630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47625"/>
          <a:ext cx="6858000" cy="10560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0</xdr:row>
      <xdr:rowOff>0</xdr:rowOff>
    </xdr:from>
    <xdr:to>
      <xdr:col>2</xdr:col>
      <xdr:colOff>3914775</xdr:colOff>
      <xdr:row>0</xdr:row>
      <xdr:rowOff>1056005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6858000" cy="105600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1092200</xdr:colOff>
          <xdr:row>63</xdr:row>
          <xdr:rowOff>88900</xdr:rowOff>
        </xdr:from>
        <xdr:to>
          <xdr:col>13</xdr:col>
          <xdr:colOff>495300</xdr:colOff>
          <xdr:row>122</xdr:row>
          <xdr:rowOff>0</xdr:rowOff>
        </xdr:to>
        <xdr:sp macro="" textlink="">
          <xdr:nvSpPr>
            <xdr:cNvPr id="2049" name="Object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63</xdr:row>
          <xdr:rowOff>63500</xdr:rowOff>
        </xdr:from>
        <xdr:to>
          <xdr:col>3</xdr:col>
          <xdr:colOff>812800</xdr:colOff>
          <xdr:row>120</xdr:row>
          <xdr:rowOff>152400</xdr:rowOff>
        </xdr:to>
        <xdr:sp macro="" textlink="">
          <xdr:nvSpPr>
            <xdr:cNvPr id="2050" name="Object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444500</xdr:colOff>
          <xdr:row>70</xdr:row>
          <xdr:rowOff>63500</xdr:rowOff>
        </xdr:from>
        <xdr:to>
          <xdr:col>8</xdr:col>
          <xdr:colOff>482600</xdr:colOff>
          <xdr:row>95</xdr:row>
          <xdr:rowOff>50800</xdr:rowOff>
        </xdr:to>
        <xdr:sp macro="" textlink="">
          <xdr:nvSpPr>
            <xdr:cNvPr id="4099" name="Object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74</xdr:row>
          <xdr:rowOff>38100</xdr:rowOff>
        </xdr:from>
        <xdr:to>
          <xdr:col>6</xdr:col>
          <xdr:colOff>635000</xdr:colOff>
          <xdr:row>84</xdr:row>
          <xdr:rowOff>0</xdr:rowOff>
        </xdr:to>
        <xdr:sp macro="" textlink="">
          <xdr:nvSpPr>
            <xdr:cNvPr id="5121" name="Object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4" Type="http://schemas.openxmlformats.org/officeDocument/2006/relationships/oleObject" Target="../embeddings/Microsoft_Word_97_-_2004_Document1.doc"/><Relationship Id="rId5" Type="http://schemas.openxmlformats.org/officeDocument/2006/relationships/image" Target="../media/image2.emf"/><Relationship Id="rId6" Type="http://schemas.openxmlformats.org/officeDocument/2006/relationships/oleObject" Target="../embeddings/Microsoft_Word_97_-_2004_Document2.doc"/><Relationship Id="rId7" Type="http://schemas.openxmlformats.org/officeDocument/2006/relationships/image" Target="../media/image3.emf"/><Relationship Id="rId1" Type="http://schemas.openxmlformats.org/officeDocument/2006/relationships/drawing" Target="../drawings/drawing3.xml"/><Relationship Id="rId2"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4" Type="http://schemas.openxmlformats.org/officeDocument/2006/relationships/oleObject" Target="../embeddings/Microsoft_Word_97_-_2004_Document3.doc"/><Relationship Id="rId5" Type="http://schemas.openxmlformats.org/officeDocument/2006/relationships/image" Target="../media/image5.emf"/><Relationship Id="rId1" Type="http://schemas.openxmlformats.org/officeDocument/2006/relationships/drawing" Target="../drawings/drawing4.xml"/><Relationship Id="rId2"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4" Type="http://schemas.openxmlformats.org/officeDocument/2006/relationships/oleObject" Target="../embeddings/Microsoft_Word_97_-_2004_Document4.doc"/><Relationship Id="rId5" Type="http://schemas.openxmlformats.org/officeDocument/2006/relationships/image" Target="../media/image6.emf"/><Relationship Id="rId1" Type="http://schemas.openxmlformats.org/officeDocument/2006/relationships/drawing" Target="../drawings/drawing5.xml"/><Relationship Id="rId2"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42"/>
  <sheetViews>
    <sheetView tabSelected="1" topLeftCell="A2" workbookViewId="0">
      <selection activeCell="D25" sqref="D25"/>
    </sheetView>
  </sheetViews>
  <sheetFormatPr baseColWidth="10" defaultColWidth="8.83203125" defaultRowHeight="12" x14ac:dyDescent="0"/>
  <cols>
    <col min="1" max="1" width="2.5" style="181" customWidth="1"/>
    <col min="2" max="2" width="32.1640625" style="181" customWidth="1"/>
    <col min="3" max="3" width="12.5" style="181" customWidth="1"/>
    <col min="4" max="7" width="13.5" style="181" customWidth="1"/>
    <col min="8" max="8" width="10.5" style="181" customWidth="1"/>
    <col min="9" max="9" width="16.1640625" customWidth="1"/>
    <col min="10" max="10" width="15.1640625" customWidth="1"/>
    <col min="11" max="11" width="13.83203125" customWidth="1"/>
    <col min="12" max="12" width="16.5" customWidth="1"/>
    <col min="13" max="13" width="11.1640625" customWidth="1"/>
    <col min="14" max="15" width="11.5" customWidth="1"/>
  </cols>
  <sheetData>
    <row r="1" spans="2:9" ht="93" customHeight="1">
      <c r="B1" s="216"/>
      <c r="C1" s="216"/>
      <c r="D1" s="216"/>
      <c r="E1" s="216"/>
      <c r="F1" s="216"/>
      <c r="G1" s="216"/>
      <c r="H1" s="216"/>
    </row>
    <row r="2" spans="2:9">
      <c r="B2" s="182" t="s">
        <v>173</v>
      </c>
      <c r="C2" s="182"/>
    </row>
    <row r="3" spans="2:9" ht="28.5" customHeight="1">
      <c r="D3" s="183"/>
      <c r="E3" s="215" t="s">
        <v>189</v>
      </c>
      <c r="F3" s="215"/>
      <c r="G3" s="215"/>
      <c r="H3" s="184"/>
    </row>
    <row r="4" spans="2:9" ht="36">
      <c r="B4" s="185" t="s">
        <v>125</v>
      </c>
      <c r="C4" s="186" t="s">
        <v>183</v>
      </c>
      <c r="D4" s="187" t="s">
        <v>184</v>
      </c>
      <c r="E4" s="187" t="s">
        <v>185</v>
      </c>
      <c r="F4" s="187" t="s">
        <v>186</v>
      </c>
      <c r="G4" s="187" t="s">
        <v>187</v>
      </c>
      <c r="H4" s="188" t="s">
        <v>188</v>
      </c>
      <c r="I4" s="178"/>
    </row>
    <row r="5" spans="2:9" ht="13">
      <c r="B5" s="209" t="s">
        <v>58</v>
      </c>
      <c r="C5" s="212">
        <v>1</v>
      </c>
      <c r="D5" s="189">
        <v>1550</v>
      </c>
      <c r="E5" s="200">
        <f>'Embodied Emissions'!D5</f>
        <v>97.834375830972988</v>
      </c>
      <c r="F5" s="200">
        <f>+'Energy Emissions'!J4</f>
        <v>672.17049649122794</v>
      </c>
      <c r="G5" s="200">
        <f>+'Transportation Emissions'!J3</f>
        <v>791.83422399282404</v>
      </c>
      <c r="H5" s="201">
        <f>C5*SUM('Embodied Emissions'!D5+'Energy Emissions'!J4+'Transportation Emissions'!J3)</f>
        <v>1561.839096315025</v>
      </c>
      <c r="I5" s="178"/>
    </row>
    <row r="6" spans="2:9" ht="13">
      <c r="B6" s="209" t="s">
        <v>83</v>
      </c>
      <c r="C6" s="212">
        <v>0</v>
      </c>
      <c r="D6" s="189"/>
      <c r="E6" s="200">
        <f>'Embodied Emissions'!D6</f>
        <v>32.792131511212553</v>
      </c>
      <c r="F6" s="200">
        <f>+'Energy Emissions'!J5</f>
        <v>357.33410840932117</v>
      </c>
      <c r="G6" s="200">
        <f>+'Transportation Emissions'!J4</f>
        <v>765.56819183874291</v>
      </c>
      <c r="H6" s="201">
        <f>C6*SUM('Embodied Emissions'!D6+'Energy Emissions'!J5+'Transportation Emissions'!J4)</f>
        <v>0</v>
      </c>
      <c r="I6" s="178"/>
    </row>
    <row r="7" spans="2:9" ht="13">
      <c r="B7" s="209" t="s">
        <v>85</v>
      </c>
      <c r="C7" s="212">
        <v>0</v>
      </c>
      <c r="D7" s="189"/>
      <c r="E7" s="200">
        <f>'Embodied Emissions'!D7</f>
        <v>53.930860915134694</v>
      </c>
      <c r="F7" s="200">
        <f>+'Energy Emissions'!J6</f>
        <v>680.67789918946301</v>
      </c>
      <c r="G7" s="200">
        <f>+'Transportation Emissions'!J5</f>
        <v>765.56819183874291</v>
      </c>
      <c r="H7" s="201">
        <f>C7*SUM('Embodied Emissions'!D7+'Energy Emissions'!J6+'Transportation Emissions'!J5)</f>
        <v>0</v>
      </c>
      <c r="I7" s="178"/>
    </row>
    <row r="8" spans="2:9" ht="13">
      <c r="B8" s="209" t="s">
        <v>59</v>
      </c>
      <c r="C8" s="212">
        <v>0</v>
      </c>
      <c r="D8" s="189"/>
      <c r="E8" s="200">
        <f>'Embodied Emissions'!D8</f>
        <v>41.115990159277132</v>
      </c>
      <c r="F8" s="200">
        <f>+'Energy Emissions'!J7</f>
        <v>475.46822631578948</v>
      </c>
      <c r="G8" s="200">
        <f>+'Transportation Emissions'!J6</f>
        <v>709.19860882441196</v>
      </c>
      <c r="H8" s="201">
        <f>C8*SUM('Embodied Emissions'!D8+'Energy Emissions'!J7+'Transportation Emissions'!J6)</f>
        <v>0</v>
      </c>
      <c r="I8" s="178"/>
    </row>
    <row r="9" spans="2:9">
      <c r="B9" s="210" t="s">
        <v>4</v>
      </c>
      <c r="C9" s="190"/>
      <c r="D9" s="213">
        <v>0</v>
      </c>
      <c r="E9" s="202">
        <f>'Embodied Emissions'!E9</f>
        <v>38.715621618905018</v>
      </c>
      <c r="F9" s="203">
        <f>'Energy Emissions'!K8</f>
        <v>645.54035848743752</v>
      </c>
      <c r="G9" s="203">
        <f>'Transportation Emissions'!K7</f>
        <v>361.22432864711374</v>
      </c>
      <c r="H9" s="201">
        <f>D9*(SUM('Embodied Emissions'!E9+'Energy Emissions'!K8+'Transportation Emissions'!K7))</f>
        <v>0</v>
      </c>
      <c r="I9" s="179"/>
    </row>
    <row r="10" spans="2:9">
      <c r="B10" s="210" t="s">
        <v>5</v>
      </c>
      <c r="C10" s="190"/>
      <c r="D10" s="213">
        <v>0</v>
      </c>
      <c r="E10" s="202">
        <f>'Embodied Emissions'!E10</f>
        <v>38.715621618905018</v>
      </c>
      <c r="F10" s="203">
        <f>'Energy Emissions'!K9</f>
        <v>1541.4852795612628</v>
      </c>
      <c r="G10" s="203">
        <f>'Transportation Emissions'!K8</f>
        <v>281.97950334975786</v>
      </c>
      <c r="H10" s="201">
        <f>D10*(SUM('Embodied Emissions'!E10+'Energy Emissions'!K9+'Transportation Emissions'!K8))</f>
        <v>0</v>
      </c>
      <c r="I10" s="179"/>
    </row>
    <row r="11" spans="2:9">
      <c r="B11" s="210" t="s">
        <v>6</v>
      </c>
      <c r="C11" s="190"/>
      <c r="D11" s="213">
        <v>0</v>
      </c>
      <c r="E11" s="202">
        <f>'Embodied Emissions'!E11</f>
        <v>38.715621618905018</v>
      </c>
      <c r="F11" s="203">
        <f>'Energy Emissions'!K10</f>
        <v>1994.2097850900659</v>
      </c>
      <c r="G11" s="203">
        <f>'Transportation Emissions'!K9</f>
        <v>560.8828666629729</v>
      </c>
      <c r="H11" s="201">
        <f>D11*(SUM('Embodied Emissions'!E11+'Energy Emissions'!K10+'Transportation Emissions'!K9))</f>
        <v>0</v>
      </c>
      <c r="I11" s="178"/>
    </row>
    <row r="12" spans="2:9">
      <c r="B12" s="210" t="s">
        <v>127</v>
      </c>
      <c r="C12" s="190"/>
      <c r="D12" s="213">
        <v>0</v>
      </c>
      <c r="E12" s="202">
        <f>'Embodied Emissions'!E12</f>
        <v>38.715621618905018</v>
      </c>
      <c r="F12" s="203">
        <f>'Energy Emissions'!K11</f>
        <v>1937.8369653095187</v>
      </c>
      <c r="G12" s="203">
        <f>'Transportation Emissions'!K10</f>
        <v>582.04825785780213</v>
      </c>
      <c r="H12" s="201">
        <f>D12*(SUM('Embodied Emissions'!E12+'Energy Emissions'!K11+'Transportation Emissions'!K10))</f>
        <v>0</v>
      </c>
      <c r="I12" s="178"/>
    </row>
    <row r="13" spans="2:9">
      <c r="B13" s="210" t="s">
        <v>126</v>
      </c>
      <c r="C13" s="190"/>
      <c r="D13" s="213">
        <v>0</v>
      </c>
      <c r="E13" s="202">
        <f>'Embodied Emissions'!E13</f>
        <v>38.715621618905018</v>
      </c>
      <c r="F13" s="203">
        <f>'Energy Emissions'!K12</f>
        <v>736.55862803706896</v>
      </c>
      <c r="G13" s="203">
        <f>'Transportation Emissions'!K11</f>
        <v>571.26958641599094</v>
      </c>
      <c r="H13" s="201">
        <f>D13*(SUM('Embodied Emissions'!E13+'Energy Emissions'!K12+'Transportation Emissions'!K11))</f>
        <v>0</v>
      </c>
      <c r="I13" s="178"/>
    </row>
    <row r="14" spans="2:9">
      <c r="B14" s="210" t="s">
        <v>7</v>
      </c>
      <c r="C14" s="190"/>
      <c r="D14" s="213">
        <v>0</v>
      </c>
      <c r="E14" s="202">
        <f>'Embodied Emissions'!E14</f>
        <v>38.715621618905018</v>
      </c>
      <c r="F14" s="203">
        <f>'Energy Emissions'!K13</f>
        <v>777.2518055642737</v>
      </c>
      <c r="G14" s="203">
        <f>'Transportation Emissions'!K12</f>
        <v>117.16125205645085</v>
      </c>
      <c r="H14" s="201">
        <f>D14*(SUM('Embodied Emissions'!E14+'Energy Emissions'!K13+'Transportation Emissions'!K12))</f>
        <v>0</v>
      </c>
      <c r="I14" s="178"/>
    </row>
    <row r="15" spans="2:9">
      <c r="B15" s="210" t="s">
        <v>8</v>
      </c>
      <c r="C15" s="190"/>
      <c r="D15" s="213">
        <v>0</v>
      </c>
      <c r="E15" s="202">
        <f>'Embodied Emissions'!E15</f>
        <v>38.715621618905018</v>
      </c>
      <c r="F15" s="203">
        <f>'Energy Emissions'!K14</f>
        <v>577.25166222634084</v>
      </c>
      <c r="G15" s="203">
        <f>'Transportation Emissions'!K13</f>
        <v>246.78846133170811</v>
      </c>
      <c r="H15" s="201">
        <f>D15*(SUM('Embodied Emissions'!E15+'Energy Emissions'!K14+'Transportation Emissions'!K13))</f>
        <v>0</v>
      </c>
      <c r="I15" s="178"/>
    </row>
    <row r="16" spans="2:9">
      <c r="B16" s="210" t="s">
        <v>9</v>
      </c>
      <c r="C16" s="190"/>
      <c r="D16" s="213">
        <v>0</v>
      </c>
      <c r="E16" s="202">
        <f>'Embodied Emissions'!E16</f>
        <v>38.715621618905018</v>
      </c>
      <c r="F16" s="203">
        <f>'Energy Emissions'!K15</f>
        <v>723.03804298680689</v>
      </c>
      <c r="G16" s="203">
        <f>'Transportation Emissions'!K14</f>
        <v>587.59157459930486</v>
      </c>
      <c r="H16" s="201">
        <f>D16*(SUM('Embodied Emissions'!E16+'Energy Emissions'!K15+'Transportation Emissions'!K14))</f>
        <v>0</v>
      </c>
      <c r="I16" s="178"/>
    </row>
    <row r="17" spans="2:9">
      <c r="B17" s="210" t="s">
        <v>10</v>
      </c>
      <c r="C17" s="190"/>
      <c r="D17" s="213">
        <v>0</v>
      </c>
      <c r="E17" s="202">
        <f>'Embodied Emissions'!E17</f>
        <v>38.715621618905018</v>
      </c>
      <c r="F17" s="203">
        <f>'Energy Emissions'!K16</f>
        <v>732.77762356913013</v>
      </c>
      <c r="G17" s="203">
        <f>'Transportation Emissions'!K15</f>
        <v>150.48076910470004</v>
      </c>
      <c r="H17" s="201">
        <f>D17*(SUM('Embodied Emissions'!E17+'Energy Emissions'!K16+'Transportation Emissions'!K15))</f>
        <v>0</v>
      </c>
      <c r="I17" s="178"/>
    </row>
    <row r="18" spans="2:9">
      <c r="B18" s="210" t="s">
        <v>11</v>
      </c>
      <c r="C18" s="190"/>
      <c r="D18" s="213">
        <v>0</v>
      </c>
      <c r="E18" s="202">
        <f>'Embodied Emissions'!E18</f>
        <v>38.715621618905018</v>
      </c>
      <c r="F18" s="203">
        <f>'Energy Emissions'!K17</f>
        <v>898.60393838347227</v>
      </c>
      <c r="G18" s="203">
        <f>'Transportation Emissions'!K16</f>
        <v>373.92191110864866</v>
      </c>
      <c r="H18" s="201">
        <f>D18*(SUM('Embodied Emissions'!E18+'Energy Emissions'!K17+'Transportation Emissions'!K16))</f>
        <v>0</v>
      </c>
      <c r="I18" s="178"/>
    </row>
    <row r="19" spans="2:9">
      <c r="B19" s="210" t="s">
        <v>12</v>
      </c>
      <c r="C19" s="190"/>
      <c r="D19" s="213">
        <v>0</v>
      </c>
      <c r="E19" s="202">
        <f>'Embodied Emissions'!E19</f>
        <v>38.715621618905018</v>
      </c>
      <c r="F19" s="203">
        <f>'Energy Emissions'!K18</f>
        <v>338.79401737926599</v>
      </c>
      <c r="G19" s="203">
        <f>'Transportation Emissions'!K17</f>
        <v>128.53565694359798</v>
      </c>
      <c r="H19" s="201">
        <f>D19*(SUM('Embodied Emissions'!E19+'Energy Emissions'!K18+'Transportation Emissions'!K17))</f>
        <v>0</v>
      </c>
      <c r="I19" s="178"/>
    </row>
    <row r="20" spans="2:9">
      <c r="B20" s="210" t="s">
        <v>13</v>
      </c>
      <c r="C20" s="190"/>
      <c r="D20" s="213">
        <v>0</v>
      </c>
      <c r="E20" s="202">
        <f>'Embodied Emissions'!E20</f>
        <v>38.715621618905018</v>
      </c>
      <c r="F20" s="203">
        <f>'Energy Emissions'!K19</f>
        <v>599.41664592336497</v>
      </c>
      <c r="G20" s="203">
        <f>'Transportation Emissions'!K18</f>
        <v>265.93584195227163</v>
      </c>
      <c r="H20" s="201">
        <f>D20*(SUM('Embodied Emissions'!E20+'Energy Emissions'!K19+'Transportation Emissions'!K18))</f>
        <v>0</v>
      </c>
      <c r="I20" s="178"/>
    </row>
    <row r="21" spans="2:9">
      <c r="B21" s="210" t="s">
        <v>14</v>
      </c>
      <c r="C21" s="190"/>
      <c r="D21" s="213">
        <v>0</v>
      </c>
      <c r="E21" s="202">
        <f>'Embodied Emissions'!E21</f>
        <v>38.715621618905018</v>
      </c>
      <c r="F21" s="203">
        <f>'Energy Emissions'!K20</f>
        <v>351.56941308571385</v>
      </c>
      <c r="G21" s="203">
        <f>'Transportation Emissions'!K19</f>
        <v>181.46210392037355</v>
      </c>
      <c r="H21" s="201">
        <f>D21*(SUM('Embodied Emissions'!E21+'Energy Emissions'!K20+'Transportation Emissions'!K19))</f>
        <v>0</v>
      </c>
      <c r="I21" s="178"/>
    </row>
    <row r="22" spans="2:9">
      <c r="B22" s="210" t="s">
        <v>15</v>
      </c>
      <c r="C22" s="190"/>
      <c r="D22" s="213">
        <v>0</v>
      </c>
      <c r="E22" s="202">
        <f>'Embodied Emissions'!E22</f>
        <v>38.715621618905018</v>
      </c>
      <c r="F22" s="203">
        <f>'Energy Emissions'!K21</f>
        <v>1278.3883843825354</v>
      </c>
      <c r="G22" s="203">
        <f>'Transportation Emissions'!K20</f>
        <v>257.07131388719597</v>
      </c>
      <c r="H22" s="201">
        <f>D22*(SUM('Embodied Emissions'!E22+'Energy Emissions'!K21+'Transportation Emissions'!K20))</f>
        <v>0</v>
      </c>
      <c r="I22" s="178"/>
    </row>
    <row r="23" spans="2:9">
      <c r="B23" s="210" t="s">
        <v>16</v>
      </c>
      <c r="C23" s="190"/>
      <c r="D23" s="213">
        <v>0</v>
      </c>
      <c r="E23" s="202">
        <f>'Embodied Emissions'!E23</f>
        <v>38.715621618905018</v>
      </c>
      <c r="F23" s="203">
        <f>'Energy Emissions'!K22</f>
        <v>162.1558599622812</v>
      </c>
      <c r="G23" s="203">
        <f>'Transportation Emissions'!K21</f>
        <v>46.563860628624177</v>
      </c>
      <c r="H23" s="201">
        <f>D23*(SUM('Embodied Emissions'!E23+'Energy Emissions'!K22+'Transportation Emissions'!K21))</f>
        <v>0</v>
      </c>
      <c r="I23" s="178"/>
    </row>
    <row r="24" spans="2:9">
      <c r="B24" s="205"/>
      <c r="D24" s="191"/>
      <c r="E24" s="204"/>
      <c r="F24" s="204"/>
      <c r="G24" s="204"/>
      <c r="H24" s="205"/>
    </row>
    <row r="25" spans="2:9">
      <c r="B25" s="211" t="s">
        <v>171</v>
      </c>
      <c r="C25" s="192"/>
      <c r="D25" s="191"/>
      <c r="E25" s="204"/>
      <c r="F25" s="204"/>
      <c r="G25" s="204"/>
      <c r="H25" s="205"/>
    </row>
    <row r="26" spans="2:9">
      <c r="B26" s="205"/>
      <c r="D26" s="191"/>
      <c r="E26" s="204"/>
      <c r="F26" s="204"/>
      <c r="G26" s="204"/>
      <c r="H26" s="205"/>
    </row>
    <row r="27" spans="2:9">
      <c r="B27" s="210" t="s">
        <v>176</v>
      </c>
      <c r="C27" s="190"/>
      <c r="D27" s="193">
        <v>0</v>
      </c>
      <c r="E27" s="206"/>
      <c r="F27" s="206"/>
      <c r="G27" s="206"/>
      <c r="H27" s="201">
        <f>D27*(SUM('Embodied Emissions'!B62))</f>
        <v>0</v>
      </c>
    </row>
    <row r="28" spans="2:9">
      <c r="E28" s="205"/>
      <c r="F28" s="205"/>
      <c r="G28" s="205"/>
      <c r="H28" s="205"/>
    </row>
    <row r="29" spans="2:9">
      <c r="B29" s="194"/>
      <c r="C29" s="195"/>
      <c r="D29" s="196" t="s">
        <v>178</v>
      </c>
      <c r="E29" s="207"/>
      <c r="F29" s="207"/>
      <c r="G29" s="207"/>
      <c r="H29" s="208">
        <f>SUM(H5:H27)</f>
        <v>1561.839096315025</v>
      </c>
    </row>
    <row r="30" spans="2:9">
      <c r="B30" s="214" t="s">
        <v>193</v>
      </c>
      <c r="C30" s="194"/>
    </row>
    <row r="32" spans="2:9" ht="15">
      <c r="B32" s="197"/>
      <c r="C32" s="197"/>
    </row>
    <row r="33" spans="2:3" ht="15">
      <c r="B33" s="198"/>
      <c r="C33" s="198"/>
    </row>
    <row r="34" spans="2:3" ht="15">
      <c r="B34" s="197"/>
      <c r="C34" s="197"/>
    </row>
    <row r="35" spans="2:3" ht="15">
      <c r="B35" s="199"/>
      <c r="C35" s="199"/>
    </row>
    <row r="36" spans="2:3" ht="15">
      <c r="B36" s="197"/>
      <c r="C36" s="197"/>
    </row>
    <row r="37" spans="2:3" ht="15">
      <c r="B37" s="199"/>
      <c r="C37" s="199"/>
    </row>
    <row r="38" spans="2:3" ht="15">
      <c r="B38" s="197"/>
      <c r="C38" s="197"/>
    </row>
    <row r="39" spans="2:3" ht="15">
      <c r="B39" s="199"/>
      <c r="C39" s="199"/>
    </row>
    <row r="40" spans="2:3" ht="15">
      <c r="B40" s="197"/>
      <c r="C40" s="197"/>
    </row>
    <row r="41" spans="2:3" ht="15">
      <c r="B41" s="199"/>
      <c r="C41" s="199"/>
    </row>
    <row r="42" spans="2:3" ht="15">
      <c r="B42" s="197"/>
      <c r="C42" s="197"/>
    </row>
  </sheetData>
  <sheetProtection algorithmName="SHA-512" hashValue="JxkOBBN22ICbdVbc2McZkEU+7XRGjWWOGreRIKA+OEUKbAJ2QLSihPXVlx9O2pJF1E5uzCTHwvrGEwwjEfzBmw==" saltValue="OsEQrsGQoHz6lH3bgP1mHg==" spinCount="100000" sheet="1" objects="1" scenarios="1" selectLockedCells="1"/>
  <mergeCells count="2">
    <mergeCell ref="E3:G3"/>
    <mergeCell ref="B1:H1"/>
  </mergeCells>
  <phoneticPr fontId="3" type="noConversion"/>
  <pageMargins left="0.75" right="0.75" top="1" bottom="1" header="0.5" footer="0.5"/>
  <pageSetup scale="81" orientation="portrait"/>
  <headerFooter alignWithMargins="0">
    <oddFooter>&amp;LDepartment of Local Services, Permitting Division
35030 SE Douglas Street, Suite 210
Snoqualmie, WA  98065-9266&amp;CMarch 2019&amp;R206-296-6600
   TTY Relay:  711
www.kingcounty.gov</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31"/>
  <sheetViews>
    <sheetView workbookViewId="0">
      <selection activeCell="E7" sqref="E7"/>
    </sheetView>
  </sheetViews>
  <sheetFormatPr baseColWidth="10" defaultColWidth="8.83203125" defaultRowHeight="12" x14ac:dyDescent="0"/>
  <cols>
    <col min="1" max="1" width="12.33203125" style="93" customWidth="1"/>
    <col min="2" max="2" width="34.5" style="93" customWidth="1"/>
    <col min="3" max="3" width="63.33203125" style="93" customWidth="1"/>
    <col min="4" max="16384" width="8.83203125" style="93"/>
  </cols>
  <sheetData>
    <row r="1" spans="1:6" ht="89.25" customHeight="1">
      <c r="A1" s="217"/>
      <c r="B1" s="217"/>
      <c r="C1" s="217"/>
    </row>
    <row r="2" spans="1:6">
      <c r="B2" s="93" t="s">
        <v>159</v>
      </c>
    </row>
    <row r="3" spans="1:6" ht="24">
      <c r="B3" s="122" t="s">
        <v>125</v>
      </c>
      <c r="C3" s="122" t="s">
        <v>82</v>
      </c>
    </row>
    <row r="4" spans="1:6" ht="13">
      <c r="B4" s="123" t="s">
        <v>58</v>
      </c>
      <c r="C4" s="124" t="s">
        <v>87</v>
      </c>
      <c r="F4" s="94"/>
    </row>
    <row r="5" spans="1:6" ht="13">
      <c r="B5" s="123" t="s">
        <v>83</v>
      </c>
      <c r="C5" s="124" t="s">
        <v>84</v>
      </c>
      <c r="F5" s="95"/>
    </row>
    <row r="6" spans="1:6" ht="13">
      <c r="B6" s="123" t="s">
        <v>85</v>
      </c>
      <c r="C6" s="124" t="s">
        <v>86</v>
      </c>
      <c r="F6" s="95"/>
    </row>
    <row r="7" spans="1:6" ht="13">
      <c r="B7" s="123" t="s">
        <v>59</v>
      </c>
      <c r="C7" s="124"/>
      <c r="F7" s="95"/>
    </row>
    <row r="8" spans="1:6" ht="72">
      <c r="B8" s="127" t="s">
        <v>4</v>
      </c>
      <c r="C8" s="128" t="s">
        <v>101</v>
      </c>
      <c r="D8" s="7"/>
      <c r="F8" s="95"/>
    </row>
    <row r="9" spans="1:6">
      <c r="B9" s="127" t="s">
        <v>5</v>
      </c>
      <c r="C9" s="128" t="s">
        <v>88</v>
      </c>
      <c r="D9" s="7"/>
    </row>
    <row r="10" spans="1:6">
      <c r="B10" s="127" t="s">
        <v>6</v>
      </c>
      <c r="C10" s="128" t="s">
        <v>89</v>
      </c>
      <c r="D10" s="7"/>
    </row>
    <row r="11" spans="1:6">
      <c r="B11" s="129" t="s">
        <v>127</v>
      </c>
      <c r="C11" s="128" t="s">
        <v>90</v>
      </c>
      <c r="D11"/>
    </row>
    <row r="12" spans="1:6" ht="36">
      <c r="B12" s="129" t="s">
        <v>126</v>
      </c>
      <c r="C12" s="128" t="s">
        <v>91</v>
      </c>
    </row>
    <row r="13" spans="1:6" ht="24">
      <c r="B13" s="127" t="s">
        <v>7</v>
      </c>
      <c r="C13" s="128" t="s">
        <v>92</v>
      </c>
    </row>
    <row r="14" spans="1:6">
      <c r="B14" s="127" t="s">
        <v>8</v>
      </c>
      <c r="C14" s="128" t="s">
        <v>93</v>
      </c>
    </row>
    <row r="15" spans="1:6" ht="48">
      <c r="B15" s="127" t="s">
        <v>9</v>
      </c>
      <c r="C15" s="128" t="s">
        <v>102</v>
      </c>
    </row>
    <row r="16" spans="1:6" ht="24">
      <c r="B16" s="127" t="s">
        <v>10</v>
      </c>
      <c r="C16" s="128" t="s">
        <v>94</v>
      </c>
    </row>
    <row r="17" spans="1:3">
      <c r="B17" s="127" t="s">
        <v>11</v>
      </c>
      <c r="C17" s="128" t="s">
        <v>95</v>
      </c>
    </row>
    <row r="18" spans="1:3" ht="24">
      <c r="B18" s="127" t="s">
        <v>12</v>
      </c>
      <c r="C18" s="128" t="s">
        <v>96</v>
      </c>
    </row>
    <row r="19" spans="1:3" ht="24">
      <c r="B19" s="127" t="s">
        <v>13</v>
      </c>
      <c r="C19" s="128" t="s">
        <v>97</v>
      </c>
    </row>
    <row r="20" spans="1:3" ht="24">
      <c r="B20" s="127" t="s">
        <v>14</v>
      </c>
      <c r="C20" s="128" t="s">
        <v>98</v>
      </c>
    </row>
    <row r="21" spans="1:3" ht="60">
      <c r="B21" s="127" t="s">
        <v>15</v>
      </c>
      <c r="C21" s="128" t="s">
        <v>99</v>
      </c>
    </row>
    <row r="22" spans="1:3" ht="36">
      <c r="B22" s="127" t="s">
        <v>16</v>
      </c>
      <c r="C22" s="128" t="s">
        <v>100</v>
      </c>
    </row>
    <row r="24" spans="1:3">
      <c r="A24" s="96" t="s">
        <v>109</v>
      </c>
    </row>
    <row r="25" spans="1:3">
      <c r="A25" s="125" t="s">
        <v>107</v>
      </c>
      <c r="B25" s="126" t="s">
        <v>106</v>
      </c>
      <c r="C25" s="11"/>
    </row>
    <row r="26" spans="1:3">
      <c r="A26" s="125"/>
      <c r="B26" s="126" t="s">
        <v>24</v>
      </c>
      <c r="C26" s="11"/>
    </row>
    <row r="27" spans="1:3">
      <c r="A27" s="125"/>
      <c r="B27" s="126" t="s">
        <v>23</v>
      </c>
      <c r="C27" s="11"/>
    </row>
    <row r="29" spans="1:3">
      <c r="A29" s="130" t="s">
        <v>108</v>
      </c>
      <c r="B29" s="131" t="s">
        <v>103</v>
      </c>
    </row>
    <row r="30" spans="1:3">
      <c r="A30" s="130"/>
      <c r="B30" s="131" t="s">
        <v>105</v>
      </c>
    </row>
    <row r="31" spans="1:3">
      <c r="A31" s="130"/>
      <c r="B31" s="130" t="s">
        <v>104</v>
      </c>
    </row>
  </sheetData>
  <sheetProtection algorithmName="SHA-512" hashValue="eEt4hBHn5INk7T+fRzqVn7EMqc8e/baIVTHrs8MLrm2q+xbtpTJR9KWm+bIYZ8bmBGdwUJrlFMoVH8TvrtnRdA==" saltValue="c397Q/i+1Ni7tTZ6CaPrNg==" spinCount="100000" sheet="1" objects="1" scenarios="1" selectLockedCells="1" selectUnlockedCells="1"/>
  <mergeCells count="1">
    <mergeCell ref="A1:C1"/>
  </mergeCells>
  <phoneticPr fontId="3" type="noConversion"/>
  <pageMargins left="0.75" right="0.75" top="1" bottom="1" header="0.5" footer="0.5"/>
  <pageSetup scale="82" orientation="portrait" horizontalDpi="525" verticalDpi="525"/>
  <headerFooter alignWithMargins="0">
    <oddFooter>&amp;LDepartment of Local Services, Permitting Division
35030 SE Douglas Street, Suite 210
Snoqualmie, WA  98065-9266&amp;CMarch 2019&amp;R206-296-6600
   TTY Relay:  711
www.kingcounty.gov</oddFoot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98"/>
  <sheetViews>
    <sheetView topLeftCell="A17" zoomScale="75" zoomScaleNormal="75" zoomScalePageLayoutView="75" workbookViewId="0">
      <selection sqref="A1:XFD1"/>
    </sheetView>
  </sheetViews>
  <sheetFormatPr baseColWidth="10" defaultColWidth="8.83203125" defaultRowHeight="12" x14ac:dyDescent="0"/>
  <cols>
    <col min="1" max="1" width="37.1640625" style="7" customWidth="1"/>
    <col min="2" max="2" width="33.83203125" style="7" customWidth="1"/>
    <col min="3" max="3" width="11" style="7" customWidth="1"/>
    <col min="4" max="4" width="19.5" style="7" customWidth="1"/>
    <col min="5" max="5" width="24.6640625" style="7" customWidth="1"/>
    <col min="6" max="6" width="11" style="7" customWidth="1"/>
    <col min="7" max="7" width="9.83203125" style="7" customWidth="1"/>
    <col min="8" max="8" width="12.33203125" style="7" customWidth="1"/>
    <col min="9" max="9" width="16.5" style="7" customWidth="1"/>
    <col min="10" max="16384" width="8.83203125" style="7"/>
  </cols>
  <sheetData>
    <row r="2" spans="2:8">
      <c r="B2" s="7" t="s">
        <v>157</v>
      </c>
      <c r="H2" s="8"/>
    </row>
    <row r="3" spans="2:8">
      <c r="B3" s="165" t="s">
        <v>173</v>
      </c>
      <c r="H3" s="8"/>
    </row>
    <row r="4" spans="2:8" ht="48">
      <c r="B4" s="36" t="s">
        <v>125</v>
      </c>
      <c r="C4" s="81" t="s">
        <v>110</v>
      </c>
      <c r="D4" s="81" t="s">
        <v>137</v>
      </c>
      <c r="E4" s="36" t="s">
        <v>138</v>
      </c>
    </row>
    <row r="5" spans="2:8" ht="13">
      <c r="B5" s="105" t="s">
        <v>58</v>
      </c>
      <c r="C5" s="161">
        <f>2527/1000</f>
        <v>2.5270000000000001</v>
      </c>
      <c r="D5" s="103">
        <f t="shared" ref="D5:D23" si="0">C5*E5</f>
        <v>97.834375830972988</v>
      </c>
      <c r="E5" s="33">
        <f t="shared" ref="E5:E23" si="1">I$31</f>
        <v>38.715621618905018</v>
      </c>
    </row>
    <row r="6" spans="2:8" ht="13">
      <c r="B6" s="105" t="s">
        <v>83</v>
      </c>
      <c r="C6" s="161">
        <f>847/1000</f>
        <v>0.84699999999999998</v>
      </c>
      <c r="D6" s="103">
        <f>C6*E6</f>
        <v>32.792131511212553</v>
      </c>
      <c r="E6" s="33">
        <f t="shared" si="1"/>
        <v>38.715621618905018</v>
      </c>
    </row>
    <row r="7" spans="2:8" ht="13">
      <c r="B7" s="105" t="s">
        <v>85</v>
      </c>
      <c r="C7" s="161">
        <v>1.393</v>
      </c>
      <c r="D7" s="103">
        <f t="shared" si="0"/>
        <v>53.930860915134694</v>
      </c>
      <c r="E7" s="33">
        <f t="shared" si="1"/>
        <v>38.715621618905018</v>
      </c>
    </row>
    <row r="8" spans="2:8" ht="13">
      <c r="B8" s="105" t="s">
        <v>59</v>
      </c>
      <c r="C8" s="161">
        <f>1062/1000</f>
        <v>1.0620000000000001</v>
      </c>
      <c r="D8" s="103">
        <f t="shared" si="0"/>
        <v>41.115990159277132</v>
      </c>
      <c r="E8" s="33">
        <f t="shared" si="1"/>
        <v>38.715621618905018</v>
      </c>
    </row>
    <row r="9" spans="2:8">
      <c r="B9" s="34" t="s">
        <v>4</v>
      </c>
      <c r="C9" s="67">
        <v>25.6</v>
      </c>
      <c r="D9" s="103">
        <f>C9*E9</f>
        <v>991.11991344396847</v>
      </c>
      <c r="E9" s="33">
        <f t="shared" si="1"/>
        <v>38.715621618905018</v>
      </c>
    </row>
    <row r="10" spans="2:8">
      <c r="B10" s="34" t="s">
        <v>5</v>
      </c>
      <c r="C10" s="67">
        <v>5.6</v>
      </c>
      <c r="D10" s="103">
        <f t="shared" si="0"/>
        <v>216.8074810658681</v>
      </c>
      <c r="E10" s="33">
        <f t="shared" si="1"/>
        <v>38.715621618905018</v>
      </c>
    </row>
    <row r="11" spans="2:8">
      <c r="B11" s="34" t="s">
        <v>6</v>
      </c>
      <c r="C11" s="67">
        <v>5.6</v>
      </c>
      <c r="D11" s="103">
        <f t="shared" si="0"/>
        <v>216.8074810658681</v>
      </c>
      <c r="E11" s="33">
        <f t="shared" si="1"/>
        <v>38.715621618905018</v>
      </c>
    </row>
    <row r="12" spans="2:8">
      <c r="B12" s="34" t="s">
        <v>127</v>
      </c>
      <c r="C12" s="67">
        <v>241.4</v>
      </c>
      <c r="D12" s="103">
        <f t="shared" si="0"/>
        <v>9345.9510588036719</v>
      </c>
      <c r="E12" s="33">
        <f t="shared" si="1"/>
        <v>38.715621618905018</v>
      </c>
    </row>
    <row r="13" spans="2:8">
      <c r="B13" s="34" t="s">
        <v>126</v>
      </c>
      <c r="C13" s="67">
        <v>10.4</v>
      </c>
      <c r="D13" s="103">
        <f t="shared" si="0"/>
        <v>402.64246483661219</v>
      </c>
      <c r="E13" s="33">
        <f t="shared" si="1"/>
        <v>38.715621618905018</v>
      </c>
    </row>
    <row r="14" spans="2:8">
      <c r="B14" s="34" t="s">
        <v>7</v>
      </c>
      <c r="C14" s="67">
        <v>35.799999999999997</v>
      </c>
      <c r="D14" s="103">
        <f t="shared" si="0"/>
        <v>1386.0192539567995</v>
      </c>
      <c r="E14" s="33">
        <f t="shared" si="1"/>
        <v>38.715621618905018</v>
      </c>
    </row>
    <row r="15" spans="2:8">
      <c r="B15" s="34" t="s">
        <v>8</v>
      </c>
      <c r="C15" s="67">
        <v>9.6999999999999993</v>
      </c>
      <c r="D15" s="103">
        <f t="shared" si="0"/>
        <v>375.54152970337867</v>
      </c>
      <c r="E15" s="33">
        <f t="shared" si="1"/>
        <v>38.715621618905018</v>
      </c>
    </row>
    <row r="16" spans="2:8">
      <c r="B16" s="34" t="s">
        <v>9</v>
      </c>
      <c r="C16" s="67">
        <v>14.8</v>
      </c>
      <c r="D16" s="103">
        <f t="shared" si="0"/>
        <v>572.99119995979424</v>
      </c>
      <c r="E16" s="33">
        <f t="shared" si="1"/>
        <v>38.715621618905018</v>
      </c>
    </row>
    <row r="17" spans="1:9">
      <c r="B17" s="34" t="s">
        <v>10</v>
      </c>
      <c r="C17" s="67">
        <v>14.2</v>
      </c>
      <c r="D17" s="103">
        <f t="shared" si="0"/>
        <v>549.76182698845128</v>
      </c>
      <c r="E17" s="33">
        <f t="shared" si="1"/>
        <v>38.715621618905018</v>
      </c>
    </row>
    <row r="18" spans="1:9">
      <c r="B18" s="34" t="s">
        <v>11</v>
      </c>
      <c r="C18" s="67">
        <v>15.5</v>
      </c>
      <c r="D18" s="103">
        <f t="shared" si="0"/>
        <v>600.09213509302776</v>
      </c>
      <c r="E18" s="33">
        <f t="shared" si="1"/>
        <v>38.715621618905018</v>
      </c>
    </row>
    <row r="19" spans="1:9">
      <c r="B19" s="34" t="s">
        <v>12</v>
      </c>
      <c r="C19" s="67">
        <v>10.1</v>
      </c>
      <c r="D19" s="103">
        <f t="shared" si="0"/>
        <v>391.02777835094065</v>
      </c>
      <c r="E19" s="33">
        <f t="shared" si="1"/>
        <v>38.715621618905018</v>
      </c>
    </row>
    <row r="20" spans="1:9">
      <c r="B20" s="34" t="s">
        <v>13</v>
      </c>
      <c r="C20" s="67">
        <v>6.5</v>
      </c>
      <c r="D20" s="103">
        <f t="shared" si="0"/>
        <v>251.65154052288261</v>
      </c>
      <c r="E20" s="33">
        <f t="shared" si="1"/>
        <v>38.715621618905018</v>
      </c>
    </row>
    <row r="21" spans="1:9">
      <c r="B21" s="34" t="s">
        <v>14</v>
      </c>
      <c r="C21" s="67">
        <v>16.899999999999999</v>
      </c>
      <c r="D21" s="103">
        <f t="shared" si="0"/>
        <v>654.2940053594948</v>
      </c>
      <c r="E21" s="33">
        <f t="shared" si="1"/>
        <v>38.715621618905018</v>
      </c>
    </row>
    <row r="22" spans="1:9">
      <c r="B22" s="34" t="s">
        <v>15</v>
      </c>
      <c r="C22" s="67">
        <v>21.9</v>
      </c>
      <c r="D22" s="103">
        <f t="shared" si="0"/>
        <v>847.87211345401988</v>
      </c>
      <c r="E22" s="33">
        <f t="shared" si="1"/>
        <v>38.715621618905018</v>
      </c>
    </row>
    <row r="23" spans="1:9">
      <c r="B23" s="34" t="s">
        <v>16</v>
      </c>
      <c r="C23" s="67">
        <v>14.1</v>
      </c>
      <c r="D23" s="103">
        <f t="shared" si="0"/>
        <v>545.89026482656072</v>
      </c>
      <c r="E23" s="33">
        <f t="shared" si="1"/>
        <v>38.715621618905018</v>
      </c>
    </row>
    <row r="24" spans="1:9">
      <c r="B24" s="169"/>
      <c r="C24" s="170"/>
      <c r="D24" s="171"/>
      <c r="E24" s="172"/>
    </row>
    <row r="25" spans="1:9">
      <c r="B25" s="166" t="s">
        <v>171</v>
      </c>
      <c r="C25" s="170"/>
      <c r="D25" s="171"/>
      <c r="E25" s="172"/>
    </row>
    <row r="26" spans="1:9">
      <c r="B26" s="34" t="s">
        <v>172</v>
      </c>
      <c r="C26" s="164"/>
      <c r="D26" s="164"/>
      <c r="E26" s="173">
        <v>50</v>
      </c>
    </row>
    <row r="27" spans="1:9">
      <c r="B27" s="9"/>
      <c r="G27" s="10"/>
    </row>
    <row r="28" spans="1:9" ht="24">
      <c r="A28" s="36"/>
      <c r="B28" s="36" t="s">
        <v>112</v>
      </c>
      <c r="C28" s="36" t="s">
        <v>122</v>
      </c>
      <c r="D28" s="36" t="s">
        <v>113</v>
      </c>
      <c r="E28" s="36" t="s">
        <v>114</v>
      </c>
      <c r="F28" s="36" t="s">
        <v>115</v>
      </c>
      <c r="G28" s="36" t="s">
        <v>116</v>
      </c>
      <c r="H28" s="59"/>
      <c r="I28" s="59"/>
    </row>
    <row r="29" spans="1:9" ht="24">
      <c r="A29" s="36" t="s">
        <v>121</v>
      </c>
      <c r="B29" s="115">
        <f>25.87*C48/C49</f>
        <v>5.2985936392967377</v>
      </c>
      <c r="C29" s="115">
        <f>37.88*C48/C49</f>
        <v>7.7584355259590421</v>
      </c>
      <c r="D29" s="115">
        <f>93.33*C48/C49</f>
        <v>19.115490697934458</v>
      </c>
      <c r="E29" s="115">
        <f>249.77*C48/C49</f>
        <v>51.156928229112715</v>
      </c>
      <c r="F29" s="115">
        <f>27.78*C48/C49</f>
        <v>5.6897924738949888</v>
      </c>
      <c r="G29" s="115">
        <f>103.95*C48/C49</f>
        <v>21.290638144758244</v>
      </c>
      <c r="H29" s="102"/>
      <c r="I29" s="102"/>
    </row>
    <row r="30" spans="1:9" ht="48">
      <c r="A30" s="36" t="s">
        <v>119</v>
      </c>
      <c r="B30" s="111">
        <v>0</v>
      </c>
      <c r="C30" s="112">
        <f>2269</f>
        <v>2269</v>
      </c>
      <c r="D30" s="112">
        <v>3206</v>
      </c>
      <c r="E30" s="114">
        <f>19*15</f>
        <v>285</v>
      </c>
      <c r="F30" s="113">
        <v>6050</v>
      </c>
      <c r="G30" s="113">
        <v>3103</v>
      </c>
      <c r="H30" s="99" t="s">
        <v>123</v>
      </c>
      <c r="I30" s="99" t="s">
        <v>124</v>
      </c>
    </row>
    <row r="31" spans="1:9">
      <c r="A31" s="36" t="s">
        <v>120</v>
      </c>
      <c r="B31" s="100">
        <f t="shared" ref="B31:G31" si="2">B29*B30/2205</f>
        <v>0</v>
      </c>
      <c r="C31" s="100">
        <f t="shared" si="2"/>
        <v>7.9836236772793949</v>
      </c>
      <c r="D31" s="100">
        <f t="shared" si="2"/>
        <v>27.793316633822165</v>
      </c>
      <c r="E31" s="100">
        <f t="shared" si="2"/>
        <v>6.6121199751914395</v>
      </c>
      <c r="F31" s="100">
        <f t="shared" si="2"/>
        <v>15.611448737897813</v>
      </c>
      <c r="G31" s="100">
        <f t="shared" si="2"/>
        <v>29.961383293961376</v>
      </c>
      <c r="H31" s="100">
        <f>SUM(B31:G31)</f>
        <v>87.961892318152195</v>
      </c>
      <c r="I31" s="100">
        <f>H31/2272*1000</f>
        <v>38.715621618905018</v>
      </c>
    </row>
    <row r="32" spans="1:9" ht="24" customHeight="1">
      <c r="A32" s="59"/>
      <c r="B32" s="102"/>
      <c r="C32" s="102"/>
      <c r="D32" s="102"/>
      <c r="E32" s="102"/>
      <c r="F32" s="102"/>
      <c r="G32" s="102"/>
    </row>
    <row r="33" spans="1:9">
      <c r="A33" s="6" t="s">
        <v>38</v>
      </c>
      <c r="D33" s="8"/>
      <c r="E33" s="8"/>
      <c r="F33" s="8"/>
      <c r="G33" s="8"/>
    </row>
    <row r="34" spans="1:9">
      <c r="A34" s="7" t="s">
        <v>52</v>
      </c>
      <c r="B34" s="23" t="s">
        <v>53</v>
      </c>
      <c r="D34" s="8"/>
      <c r="E34" s="8"/>
      <c r="F34" s="8"/>
      <c r="G34" s="8"/>
    </row>
    <row r="35" spans="1:9">
      <c r="A35" s="6"/>
      <c r="D35" s="8"/>
      <c r="E35" s="8"/>
      <c r="F35" s="8"/>
      <c r="G35" s="8"/>
    </row>
    <row r="36" spans="1:9">
      <c r="A36" s="107" t="s">
        <v>75</v>
      </c>
      <c r="B36" s="91" t="s">
        <v>78</v>
      </c>
      <c r="C36" s="23"/>
      <c r="D36" s="102"/>
      <c r="E36" s="102"/>
      <c r="F36" s="102"/>
      <c r="G36" s="102"/>
      <c r="H36" s="109"/>
      <c r="I36" s="109"/>
    </row>
    <row r="37" spans="1:9">
      <c r="A37" s="92"/>
      <c r="B37" s="91" t="s">
        <v>24</v>
      </c>
      <c r="D37" s="101"/>
      <c r="F37" s="101"/>
      <c r="G37" s="101"/>
      <c r="H37" s="108"/>
      <c r="I37" s="109"/>
    </row>
    <row r="38" spans="1:9">
      <c r="A38" s="92"/>
      <c r="B38" s="91" t="s">
        <v>23</v>
      </c>
      <c r="C38" s="13"/>
      <c r="D38" s="110"/>
      <c r="E38" s="110"/>
      <c r="F38" s="59"/>
      <c r="G38" s="59"/>
      <c r="H38" s="59"/>
      <c r="I38" s="59"/>
    </row>
    <row r="39" spans="1:9">
      <c r="C39" s="13"/>
      <c r="D39" s="19"/>
      <c r="E39" s="19"/>
      <c r="H39" s="59"/>
      <c r="I39" s="59"/>
    </row>
    <row r="40" spans="1:9">
      <c r="A40" s="87" t="s">
        <v>77</v>
      </c>
      <c r="B40" s="61" t="s">
        <v>79</v>
      </c>
      <c r="C40" s="62"/>
      <c r="D40" s="19"/>
      <c r="E40" s="19"/>
    </row>
    <row r="41" spans="1:9">
      <c r="A41" s="87"/>
      <c r="B41" s="24" t="s">
        <v>21</v>
      </c>
      <c r="C41" s="4"/>
      <c r="D41" s="19"/>
      <c r="E41" s="19"/>
    </row>
    <row r="42" spans="1:9">
      <c r="B42" s="61" t="s">
        <v>73</v>
      </c>
      <c r="C42" s="61"/>
    </row>
    <row r="43" spans="1:9">
      <c r="C43" s="110"/>
    </row>
    <row r="44" spans="1:9" ht="24">
      <c r="A44" s="116" t="s">
        <v>121</v>
      </c>
      <c r="B44" s="117" t="s">
        <v>132</v>
      </c>
      <c r="C44" s="19"/>
    </row>
    <row r="45" spans="1:9">
      <c r="A45" s="117"/>
      <c r="B45" s="117" t="s">
        <v>181</v>
      </c>
      <c r="C45" s="19"/>
    </row>
    <row r="46" spans="1:9">
      <c r="A46" s="117"/>
      <c r="B46" s="117" t="s">
        <v>182</v>
      </c>
    </row>
    <row r="47" spans="1:9">
      <c r="A47" s="117"/>
      <c r="B47" s="117" t="s">
        <v>131</v>
      </c>
    </row>
    <row r="48" spans="1:9">
      <c r="A48" s="117"/>
      <c r="B48" s="26" t="s">
        <v>180</v>
      </c>
      <c r="C48" s="177">
        <v>2.2046226199999999</v>
      </c>
    </row>
    <row r="49" spans="1:5">
      <c r="A49" s="117"/>
      <c r="B49" s="26" t="s">
        <v>179</v>
      </c>
      <c r="C49" s="177">
        <v>10.7639104</v>
      </c>
    </row>
    <row r="50" spans="1:5">
      <c r="A50" s="60"/>
      <c r="B50" s="60"/>
    </row>
    <row r="51" spans="1:5" ht="24">
      <c r="A51" s="118" t="s">
        <v>119</v>
      </c>
      <c r="B51" s="119" t="s">
        <v>117</v>
      </c>
    </row>
    <row r="52" spans="1:5">
      <c r="A52" s="119"/>
      <c r="B52" s="119" t="s">
        <v>118</v>
      </c>
    </row>
    <row r="53" spans="1:5">
      <c r="A53" s="119"/>
      <c r="B53" s="119" t="s">
        <v>130</v>
      </c>
    </row>
    <row r="54" spans="1:5">
      <c r="A54" s="119"/>
      <c r="B54" s="119" t="s">
        <v>129</v>
      </c>
    </row>
    <row r="55" spans="1:5">
      <c r="A55" s="60"/>
    </row>
    <row r="56" spans="1:5">
      <c r="A56" s="60"/>
      <c r="B56" s="60"/>
      <c r="C56" s="19"/>
      <c r="D56" s="19"/>
      <c r="E56" s="19"/>
    </row>
    <row r="57" spans="1:5">
      <c r="A57" s="120" t="s">
        <v>136</v>
      </c>
      <c r="B57" s="120" t="s">
        <v>133</v>
      </c>
      <c r="C57" s="19"/>
      <c r="D57" s="19"/>
      <c r="E57" s="19"/>
    </row>
    <row r="58" spans="1:5">
      <c r="A58" s="120"/>
      <c r="B58" s="120" t="s">
        <v>135</v>
      </c>
      <c r="C58" s="19"/>
      <c r="D58" s="19"/>
      <c r="E58" s="19"/>
    </row>
    <row r="59" spans="1:5">
      <c r="A59" s="120"/>
      <c r="B59" s="120" t="s">
        <v>134</v>
      </c>
      <c r="C59" s="19"/>
      <c r="D59" s="19"/>
      <c r="E59" s="19"/>
    </row>
    <row r="60" spans="1:5">
      <c r="A60" s="121"/>
      <c r="B60" s="121"/>
      <c r="C60" s="22"/>
      <c r="D60" s="22"/>
      <c r="E60" s="22"/>
    </row>
    <row r="61" spans="1:5">
      <c r="A61" s="174" t="s">
        <v>175</v>
      </c>
    </row>
    <row r="62" spans="1:5" ht="24">
      <c r="A62" s="175" t="s">
        <v>174</v>
      </c>
      <c r="B62" s="174">
        <v>50</v>
      </c>
      <c r="C62" s="174" t="s">
        <v>177</v>
      </c>
    </row>
    <row r="64" spans="1:5">
      <c r="C64" s="26"/>
      <c r="D64" s="26"/>
      <c r="E64" s="26"/>
    </row>
    <row r="65" spans="1:7">
      <c r="A65" s="174"/>
      <c r="C65" s="26"/>
      <c r="D65" s="26"/>
      <c r="E65" s="26"/>
    </row>
    <row r="66" spans="1:7">
      <c r="B66" s="168"/>
      <c r="C66" s="26"/>
      <c r="D66" s="26"/>
      <c r="E66" s="26"/>
    </row>
    <row r="67" spans="1:7">
      <c r="B67" s="167"/>
      <c r="C67" s="26"/>
      <c r="D67" s="26"/>
      <c r="E67" s="26"/>
    </row>
    <row r="68" spans="1:7">
      <c r="B68" s="167"/>
    </row>
    <row r="69" spans="1:7">
      <c r="B69" s="167"/>
      <c r="C69" s="21"/>
    </row>
    <row r="70" spans="1:7">
      <c r="B70" s="167"/>
      <c r="C70" s="19"/>
      <c r="G70" s="2"/>
    </row>
    <row r="71" spans="1:7">
      <c r="B71" s="167"/>
      <c r="C71" s="19"/>
      <c r="G71" s="25"/>
    </row>
    <row r="72" spans="1:7">
      <c r="B72" s="167"/>
      <c r="C72" s="19"/>
      <c r="G72" s="2"/>
    </row>
    <row r="73" spans="1:7">
      <c r="B73" s="167"/>
      <c r="C73" s="19"/>
    </row>
    <row r="74" spans="1:7">
      <c r="B74" s="167"/>
      <c r="C74" s="19"/>
    </row>
    <row r="75" spans="1:7">
      <c r="B75" s="167"/>
      <c r="C75" s="19"/>
    </row>
    <row r="76" spans="1:7">
      <c r="B76" s="167"/>
      <c r="C76" s="19"/>
    </row>
    <row r="77" spans="1:7">
      <c r="B77" s="167"/>
      <c r="C77" s="19"/>
    </row>
    <row r="78" spans="1:7">
      <c r="B78" s="167"/>
      <c r="C78" s="19"/>
    </row>
    <row r="79" spans="1:7">
      <c r="B79" s="167"/>
      <c r="C79" s="19"/>
    </row>
    <row r="80" spans="1:7">
      <c r="B80" s="167"/>
      <c r="C80" s="19"/>
      <c r="D80" s="19"/>
    </row>
    <row r="81" spans="2:6">
      <c r="B81" s="167"/>
    </row>
    <row r="82" spans="2:6">
      <c r="B82" s="167"/>
    </row>
    <row r="83" spans="2:6">
      <c r="B83" s="167"/>
    </row>
    <row r="84" spans="2:6">
      <c r="B84" s="167"/>
    </row>
    <row r="85" spans="2:6">
      <c r="B85" s="167"/>
    </row>
    <row r="86" spans="2:6">
      <c r="B86" s="168"/>
    </row>
    <row r="87" spans="2:6">
      <c r="B87" s="167"/>
      <c r="C87" s="1"/>
      <c r="D87" s="1"/>
      <c r="E87" s="1"/>
      <c r="F87" s="1"/>
    </row>
    <row r="88" spans="2:6">
      <c r="B88" s="176"/>
      <c r="C88" s="1"/>
      <c r="D88" s="1"/>
      <c r="E88" s="1"/>
      <c r="F88" s="1"/>
    </row>
    <row r="89" spans="2:6">
      <c r="B89" s="167"/>
      <c r="C89" s="1"/>
      <c r="D89" s="1"/>
      <c r="E89" s="1"/>
      <c r="F89" s="1"/>
    </row>
    <row r="90" spans="2:6">
      <c r="B90" s="167"/>
    </row>
    <row r="91" spans="2:6">
      <c r="B91" s="167"/>
    </row>
    <row r="92" spans="2:6">
      <c r="B92" s="167"/>
    </row>
    <row r="93" spans="2:6">
      <c r="B93" s="167"/>
    </row>
    <row r="94" spans="2:6">
      <c r="B94" s="167"/>
    </row>
    <row r="95" spans="2:6">
      <c r="B95" s="176"/>
    </row>
    <row r="96" spans="2:6">
      <c r="B96" s="176"/>
    </row>
    <row r="97" spans="2:2">
      <c r="B97" s="167"/>
    </row>
    <row r="98" spans="2:2">
      <c r="B98" s="167"/>
    </row>
  </sheetData>
  <sheetProtection algorithmName="SHA-512" hashValue="tWEfDFReMAnYUONzguJAbNm5mhIOQrvsryHXg67EL1X+bzB8QF89nm2tWWFPePcuiVFk8Ex8rJDuTge4bLPb3w==" saltValue="kScphGub9rskHZMnmER7iQ==" spinCount="100000" sheet="1" objects="1" scenarios="1" selectLockedCells="1" selectUnlockedCells="1"/>
  <phoneticPr fontId="3" type="noConversion"/>
  <pageMargins left="0.75" right="0.75" top="1.25" bottom="0.75" header="0.5" footer="0.5"/>
  <pageSetup scale="54" fitToHeight="2" orientation="landscape" horizontalDpi="525" verticalDpi="525"/>
  <headerFooter alignWithMargins="0">
    <oddHeader>&amp;C&amp;G</oddHeader>
    <oddFooter>&amp;LDepartment of Local Services, Permitting Division
35030 SE Douglas Street, Suite 210
Snoqualmie, WA  98065-9266&amp;CMarch 2019&amp;R206-296-6600
   TTY Relay:  711
www.kingcounty.gov</oddFooter>
  </headerFooter>
  <drawing r:id="rId1"/>
  <legacyDrawing r:id="rId2"/>
  <legacyDrawingHF r:id="rId3"/>
  <oleObjects>
    <mc:AlternateContent xmlns:mc="http://schemas.openxmlformats.org/markup-compatibility/2006">
      <mc:Choice Requires="x14">
        <oleObject progId="Word.Document.8" shapeId="2049" r:id="rId4">
          <objectPr defaultSize="0" r:id="rId5">
            <anchor moveWithCells="1">
              <from>
                <xdr:col>3</xdr:col>
                <xdr:colOff>1092200</xdr:colOff>
                <xdr:row>63</xdr:row>
                <xdr:rowOff>88900</xdr:rowOff>
              </from>
              <to>
                <xdr:col>13</xdr:col>
                <xdr:colOff>495300</xdr:colOff>
                <xdr:row>122</xdr:row>
                <xdr:rowOff>0</xdr:rowOff>
              </to>
            </anchor>
          </objectPr>
        </oleObject>
      </mc:Choice>
      <mc:Fallback>
        <oleObject progId="Word.Document.8" shapeId="2049" r:id="rId4"/>
      </mc:Fallback>
    </mc:AlternateContent>
    <mc:AlternateContent xmlns:mc="http://schemas.openxmlformats.org/markup-compatibility/2006">
      <mc:Choice Requires="x14">
        <oleObject progId="Word.Document.8" shapeId="2050" r:id="rId6">
          <objectPr defaultSize="0" autoPict="0" r:id="rId7">
            <anchor moveWithCells="1">
              <from>
                <xdr:col>0</xdr:col>
                <xdr:colOff>25400</xdr:colOff>
                <xdr:row>63</xdr:row>
                <xdr:rowOff>63500</xdr:rowOff>
              </from>
              <to>
                <xdr:col>3</xdr:col>
                <xdr:colOff>812800</xdr:colOff>
                <xdr:row>120</xdr:row>
                <xdr:rowOff>152400</xdr:rowOff>
              </to>
            </anchor>
          </objectPr>
        </oleObject>
      </mc:Choice>
      <mc:Fallback>
        <oleObject progId="Word.Document.8" shapeId="2050" r:id="rId6"/>
      </mc:Fallback>
    </mc:AlternateContent>
  </oleObjec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B2:P69"/>
  <sheetViews>
    <sheetView topLeftCell="A33" zoomScale="75" workbookViewId="0">
      <selection activeCell="K8" sqref="K8"/>
    </sheetView>
  </sheetViews>
  <sheetFormatPr baseColWidth="10" defaultColWidth="8.83203125" defaultRowHeight="12" x14ac:dyDescent="0"/>
  <cols>
    <col min="1" max="1" width="8.83203125" style="7"/>
    <col min="2" max="2" width="32.1640625" style="7" customWidth="1"/>
    <col min="3" max="4" width="14.5" style="7" customWidth="1"/>
    <col min="5" max="5" width="15" style="7" customWidth="1"/>
    <col min="6" max="6" width="14.33203125" style="7" customWidth="1"/>
    <col min="7" max="7" width="13.6640625" style="7" customWidth="1"/>
    <col min="8" max="8" width="16.5" style="7" customWidth="1"/>
    <col min="9" max="9" width="12.5" style="7" customWidth="1"/>
    <col min="10" max="10" width="16" style="7" customWidth="1"/>
    <col min="11" max="11" width="18.5" style="7" customWidth="1"/>
    <col min="12" max="12" width="15.1640625" style="7" customWidth="1"/>
    <col min="13" max="13" width="17" style="7" customWidth="1"/>
    <col min="14" max="15" width="8.83203125" style="7"/>
    <col min="16" max="16" width="11.83203125" style="7" customWidth="1"/>
    <col min="17" max="16384" width="8.83203125" style="7"/>
  </cols>
  <sheetData>
    <row r="2" spans="2:15">
      <c r="B2" s="163" t="s">
        <v>156</v>
      </c>
      <c r="C2" s="43"/>
      <c r="D2" s="43"/>
      <c r="E2" s="43"/>
      <c r="F2" s="1"/>
      <c r="G2" s="44"/>
      <c r="H2" s="45"/>
      <c r="I2" s="46"/>
      <c r="J2" s="46"/>
      <c r="K2" s="47"/>
      <c r="L2" s="48"/>
      <c r="O2" s="49"/>
    </row>
    <row r="3" spans="2:15" ht="48">
      <c r="B3" s="81" t="s">
        <v>125</v>
      </c>
      <c r="C3" s="79" t="s">
        <v>20</v>
      </c>
      <c r="D3" s="79" t="s">
        <v>70</v>
      </c>
      <c r="E3" s="80" t="s">
        <v>17</v>
      </c>
      <c r="F3" s="36" t="s">
        <v>3</v>
      </c>
      <c r="G3" s="79" t="s">
        <v>18</v>
      </c>
      <c r="H3" s="81" t="s">
        <v>19</v>
      </c>
      <c r="I3" s="36" t="s">
        <v>40</v>
      </c>
      <c r="J3" s="80" t="s">
        <v>63</v>
      </c>
      <c r="K3" s="80" t="s">
        <v>64</v>
      </c>
      <c r="L3" s="50"/>
      <c r="M3" s="59"/>
      <c r="N3" s="59"/>
      <c r="O3" s="59"/>
    </row>
    <row r="4" spans="2:15" ht="13">
      <c r="B4" s="105" t="s">
        <v>58</v>
      </c>
      <c r="C4" s="89">
        <v>107.3</v>
      </c>
      <c r="D4" s="51">
        <f>0.02951*44/12</f>
        <v>0.10820333333333333</v>
      </c>
      <c r="E4" s="52">
        <f>C4*D4</f>
        <v>11.610217666666665</v>
      </c>
      <c r="F4" s="106">
        <f>2527/1000</f>
        <v>2.5270000000000001</v>
      </c>
      <c r="G4" s="53">
        <f t="shared" ref="G4:G22" si="0">E4/F4</f>
        <v>4.594466824957129</v>
      </c>
      <c r="H4" s="5">
        <f>G4*44/12</f>
        <v>16.846378358176139</v>
      </c>
      <c r="I4" s="146">
        <f>D54</f>
        <v>57.89473684210526</v>
      </c>
      <c r="J4" s="54">
        <f>E4*I4</f>
        <v>672.17049649122794</v>
      </c>
      <c r="K4" s="55">
        <f>G4*I4</f>
        <v>265.99544776067586</v>
      </c>
      <c r="M4" s="59"/>
      <c r="N4" s="59"/>
      <c r="O4" s="59"/>
    </row>
    <row r="5" spans="2:15" ht="13">
      <c r="B5" s="105" t="s">
        <v>83</v>
      </c>
      <c r="C5" s="89">
        <v>41</v>
      </c>
      <c r="D5" s="51">
        <f>0.02951*44/12</f>
        <v>0.10820333333333333</v>
      </c>
      <c r="E5" s="52">
        <f>C5*D5</f>
        <v>4.4363366666666666</v>
      </c>
      <c r="F5" s="106">
        <f>847/1000</f>
        <v>0.84699999999999998</v>
      </c>
      <c r="G5" s="53">
        <f t="shared" si="0"/>
        <v>5.237705627705628</v>
      </c>
      <c r="H5" s="5">
        <f>G5*44/12</f>
        <v>19.204920634920637</v>
      </c>
      <c r="I5" s="146">
        <f>E54</f>
        <v>80.547112462006083</v>
      </c>
      <c r="J5" s="54">
        <f t="shared" ref="J5:J22" si="1">E5*I5</f>
        <v>357.33410840932117</v>
      </c>
      <c r="K5" s="55">
        <f t="shared" ref="K5:K22" si="2">G5*I5</f>
        <v>421.88206423768736</v>
      </c>
      <c r="M5" s="59"/>
      <c r="N5" s="59"/>
      <c r="O5" s="59"/>
    </row>
    <row r="6" spans="2:15" ht="13">
      <c r="B6" s="105" t="s">
        <v>85</v>
      </c>
      <c r="C6" s="89">
        <v>78.099999999999994</v>
      </c>
      <c r="D6" s="51">
        <f>0.02951*44/12</f>
        <v>0.10820333333333333</v>
      </c>
      <c r="E6" s="52">
        <f>C6*D6</f>
        <v>8.4506803333333327</v>
      </c>
      <c r="F6" s="106">
        <v>1.393</v>
      </c>
      <c r="G6" s="53">
        <f t="shared" si="0"/>
        <v>6.0665329026082793</v>
      </c>
      <c r="H6" s="5">
        <f>G6*44/12</f>
        <v>22.243953976230358</v>
      </c>
      <c r="I6" s="146">
        <f>E54</f>
        <v>80.547112462006083</v>
      </c>
      <c r="J6" s="54">
        <f t="shared" si="1"/>
        <v>680.67789918946301</v>
      </c>
      <c r="K6" s="55">
        <f t="shared" si="2"/>
        <v>488.64170796084926</v>
      </c>
      <c r="M6" s="59"/>
      <c r="N6" s="59"/>
      <c r="O6" s="59"/>
    </row>
    <row r="7" spans="2:15" ht="13">
      <c r="B7" s="105" t="s">
        <v>59</v>
      </c>
      <c r="C7" s="89">
        <v>75.900000000000006</v>
      </c>
      <c r="D7" s="51">
        <f>0.02951*44/12</f>
        <v>0.10820333333333333</v>
      </c>
      <c r="E7" s="52">
        <f>C7*D7</f>
        <v>8.2126330000000003</v>
      </c>
      <c r="F7" s="106">
        <f>1062/1000</f>
        <v>1.0620000000000001</v>
      </c>
      <c r="G7" s="53">
        <f>E7/F7</f>
        <v>7.7331760828625233</v>
      </c>
      <c r="H7" s="5">
        <f>G7*44/12</f>
        <v>28.354978970495921</v>
      </c>
      <c r="I7" s="146">
        <f>D54</f>
        <v>57.89473684210526</v>
      </c>
      <c r="J7" s="54">
        <f>E7*I7</f>
        <v>475.46822631578948</v>
      </c>
      <c r="K7" s="55">
        <f>G7*I7</f>
        <v>447.71019427098815</v>
      </c>
      <c r="M7" s="59"/>
      <c r="N7" s="59"/>
      <c r="O7" s="59"/>
    </row>
    <row r="8" spans="2:15">
      <c r="B8" s="90" t="s">
        <v>4</v>
      </c>
      <c r="C8" s="66">
        <v>2125</v>
      </c>
      <c r="D8" s="40">
        <f>0.03391*44/12</f>
        <v>0.12433666666666666</v>
      </c>
      <c r="E8" s="41">
        <f>C8*D8</f>
        <v>264.21541666666667</v>
      </c>
      <c r="F8" s="67">
        <v>25.6</v>
      </c>
      <c r="G8" s="53">
        <f t="shared" si="0"/>
        <v>10.320914713541667</v>
      </c>
      <c r="H8" s="5">
        <f t="shared" ref="H8:H22" si="3">G8*44/12</f>
        <v>37.84335394965278</v>
      </c>
      <c r="I8" s="156">
        <f t="shared" ref="I8:I22" si="4">F$54</f>
        <v>62.546816479400746</v>
      </c>
      <c r="J8" s="54">
        <f t="shared" si="1"/>
        <v>16525.8331772784</v>
      </c>
      <c r="K8" s="55">
        <f>G8*I8</f>
        <v>645.54035848743752</v>
      </c>
      <c r="M8" s="59"/>
      <c r="N8" s="59"/>
      <c r="O8" s="59"/>
    </row>
    <row r="9" spans="2:15">
      <c r="B9" s="90" t="s">
        <v>5</v>
      </c>
      <c r="C9" s="67">
        <v>1110</v>
      </c>
      <c r="D9" s="40">
        <f t="shared" ref="D9:D22" si="5">0.03391*44/12</f>
        <v>0.12433666666666666</v>
      </c>
      <c r="E9" s="5">
        <f t="shared" ref="E9:E22" si="6">C9*D9</f>
        <v>138.0137</v>
      </c>
      <c r="F9" s="67">
        <v>5.6</v>
      </c>
      <c r="G9" s="53">
        <f t="shared" si="0"/>
        <v>24.645303571428574</v>
      </c>
      <c r="H9" s="5">
        <f t="shared" si="3"/>
        <v>90.366113095238106</v>
      </c>
      <c r="I9" s="156">
        <f t="shared" si="4"/>
        <v>62.546816479400746</v>
      </c>
      <c r="J9" s="54">
        <f t="shared" si="1"/>
        <v>8632.3175655430714</v>
      </c>
      <c r="K9" s="55">
        <f t="shared" si="2"/>
        <v>1541.4852795612628</v>
      </c>
      <c r="M9" s="59"/>
      <c r="N9" s="59"/>
      <c r="O9" s="59"/>
    </row>
    <row r="10" spans="2:15">
      <c r="B10" s="90" t="s">
        <v>6</v>
      </c>
      <c r="C10" s="67">
        <v>1436</v>
      </c>
      <c r="D10" s="40">
        <f t="shared" si="5"/>
        <v>0.12433666666666666</v>
      </c>
      <c r="E10" s="5">
        <f t="shared" si="6"/>
        <v>178.54745333333332</v>
      </c>
      <c r="F10" s="67">
        <v>5.6</v>
      </c>
      <c r="G10" s="53">
        <f t="shared" si="0"/>
        <v>31.88347380952381</v>
      </c>
      <c r="H10" s="5">
        <f t="shared" si="3"/>
        <v>116.90607063492064</v>
      </c>
      <c r="I10" s="156">
        <f t="shared" si="4"/>
        <v>62.546816479400746</v>
      </c>
      <c r="J10" s="54">
        <f t="shared" si="1"/>
        <v>11167.574796504368</v>
      </c>
      <c r="K10" s="55">
        <f t="shared" si="2"/>
        <v>1994.2097850900659</v>
      </c>
      <c r="M10" s="59"/>
      <c r="N10" s="59"/>
      <c r="O10" s="59"/>
    </row>
    <row r="11" spans="2:15">
      <c r="B11" s="34" t="s">
        <v>127</v>
      </c>
      <c r="C11" s="66">
        <v>60152</v>
      </c>
      <c r="D11" s="40">
        <f t="shared" si="5"/>
        <v>0.12433666666666666</v>
      </c>
      <c r="E11" s="41">
        <f t="shared" si="6"/>
        <v>7479.0991733333331</v>
      </c>
      <c r="F11" s="67">
        <v>241.4</v>
      </c>
      <c r="G11" s="53">
        <f t="shared" si="0"/>
        <v>30.982183816625241</v>
      </c>
      <c r="H11" s="5">
        <f t="shared" si="3"/>
        <v>113.60134066095922</v>
      </c>
      <c r="I11" s="156">
        <f t="shared" si="4"/>
        <v>62.546816479400746</v>
      </c>
      <c r="J11" s="54">
        <f t="shared" si="1"/>
        <v>467793.84342571779</v>
      </c>
      <c r="K11" s="55">
        <f t="shared" si="2"/>
        <v>1937.8369653095187</v>
      </c>
      <c r="M11" s="59"/>
      <c r="N11" s="59"/>
      <c r="O11" s="59"/>
    </row>
    <row r="12" spans="2:15">
      <c r="B12" s="34" t="s">
        <v>126</v>
      </c>
      <c r="C12" s="67">
        <v>985</v>
      </c>
      <c r="D12" s="40">
        <f t="shared" si="5"/>
        <v>0.12433666666666666</v>
      </c>
      <c r="E12" s="5">
        <f t="shared" si="6"/>
        <v>122.47161666666666</v>
      </c>
      <c r="F12" s="67">
        <v>10.4</v>
      </c>
      <c r="G12" s="53">
        <f t="shared" si="0"/>
        <v>11.776116987179487</v>
      </c>
      <c r="H12" s="5">
        <f t="shared" si="3"/>
        <v>43.179095619658113</v>
      </c>
      <c r="I12" s="156">
        <f t="shared" si="4"/>
        <v>62.546816479400746</v>
      </c>
      <c r="J12" s="54">
        <f t="shared" si="1"/>
        <v>7660.2097315855171</v>
      </c>
      <c r="K12" s="55">
        <f t="shared" si="2"/>
        <v>736.55862803706896</v>
      </c>
      <c r="M12" s="59"/>
      <c r="N12" s="59"/>
      <c r="O12" s="59"/>
    </row>
    <row r="13" spans="2:15">
      <c r="B13" s="90" t="s">
        <v>7</v>
      </c>
      <c r="C13" s="67">
        <v>3578</v>
      </c>
      <c r="D13" s="40">
        <f t="shared" si="5"/>
        <v>0.12433666666666666</v>
      </c>
      <c r="E13" s="5">
        <f t="shared" si="6"/>
        <v>444.87659333333335</v>
      </c>
      <c r="F13" s="67">
        <v>35.799999999999997</v>
      </c>
      <c r="G13" s="53">
        <f t="shared" si="0"/>
        <v>12.426720484171323</v>
      </c>
      <c r="H13" s="5">
        <f t="shared" si="3"/>
        <v>45.564641775294852</v>
      </c>
      <c r="I13" s="156">
        <f t="shared" si="4"/>
        <v>62.546816479400746</v>
      </c>
      <c r="J13" s="54">
        <f t="shared" si="1"/>
        <v>27825.614639200998</v>
      </c>
      <c r="K13" s="55">
        <f t="shared" si="2"/>
        <v>777.2518055642737</v>
      </c>
      <c r="M13" s="59"/>
      <c r="N13" s="59"/>
      <c r="O13" s="59"/>
    </row>
    <row r="14" spans="2:15">
      <c r="B14" s="90" t="s">
        <v>8</v>
      </c>
      <c r="C14" s="67">
        <v>720</v>
      </c>
      <c r="D14" s="40">
        <f t="shared" si="5"/>
        <v>0.12433666666666666</v>
      </c>
      <c r="E14" s="5">
        <f t="shared" si="6"/>
        <v>89.522400000000005</v>
      </c>
      <c r="F14" s="67">
        <v>9.6999999999999993</v>
      </c>
      <c r="G14" s="53">
        <f t="shared" si="0"/>
        <v>9.2291134020618575</v>
      </c>
      <c r="H14" s="5">
        <f t="shared" si="3"/>
        <v>33.840082474226811</v>
      </c>
      <c r="I14" s="156">
        <f t="shared" si="4"/>
        <v>62.546816479400746</v>
      </c>
      <c r="J14" s="54">
        <f t="shared" si="1"/>
        <v>5599.3411235955055</v>
      </c>
      <c r="K14" s="55">
        <f t="shared" si="2"/>
        <v>577.25166222634084</v>
      </c>
      <c r="M14" s="59"/>
      <c r="N14" s="59"/>
      <c r="O14" s="59"/>
    </row>
    <row r="15" spans="2:15">
      <c r="B15" s="90" t="s">
        <v>9</v>
      </c>
      <c r="C15" s="66">
        <v>1376</v>
      </c>
      <c r="D15" s="40">
        <f t="shared" si="5"/>
        <v>0.12433666666666666</v>
      </c>
      <c r="E15" s="41">
        <f t="shared" si="6"/>
        <v>171.08725333333334</v>
      </c>
      <c r="F15" s="67">
        <v>14.8</v>
      </c>
      <c r="G15" s="53">
        <f t="shared" si="0"/>
        <v>11.559949549549549</v>
      </c>
      <c r="H15" s="5">
        <f t="shared" si="3"/>
        <v>42.38648168168168</v>
      </c>
      <c r="I15" s="156">
        <f t="shared" si="4"/>
        <v>62.546816479400746</v>
      </c>
      <c r="J15" s="54">
        <f t="shared" si="1"/>
        <v>10700.963036204745</v>
      </c>
      <c r="K15" s="55">
        <f t="shared" si="2"/>
        <v>723.03804298680689</v>
      </c>
      <c r="M15" s="59"/>
      <c r="N15" s="59"/>
      <c r="O15" s="59"/>
    </row>
    <row r="16" spans="2:15" ht="14.25" customHeight="1">
      <c r="B16" s="90" t="s">
        <v>10</v>
      </c>
      <c r="C16" s="67">
        <v>1338</v>
      </c>
      <c r="D16" s="40">
        <f t="shared" si="5"/>
        <v>0.12433666666666666</v>
      </c>
      <c r="E16" s="5">
        <f t="shared" si="6"/>
        <v>166.36246</v>
      </c>
      <c r="F16" s="67">
        <v>14.2</v>
      </c>
      <c r="G16" s="53">
        <f t="shared" si="0"/>
        <v>11.715666197183099</v>
      </c>
      <c r="H16" s="5">
        <f t="shared" si="3"/>
        <v>42.957442723004696</v>
      </c>
      <c r="I16" s="156">
        <f t="shared" si="4"/>
        <v>62.546816479400746</v>
      </c>
      <c r="J16" s="54">
        <f t="shared" si="1"/>
        <v>10405.442254681648</v>
      </c>
      <c r="K16" s="55">
        <f t="shared" si="2"/>
        <v>732.77762356913013</v>
      </c>
      <c r="M16" s="68"/>
      <c r="N16" s="59"/>
      <c r="O16" s="59"/>
    </row>
    <row r="17" spans="2:16">
      <c r="B17" s="90" t="s">
        <v>11</v>
      </c>
      <c r="C17" s="67">
        <v>1791</v>
      </c>
      <c r="D17" s="40">
        <f t="shared" si="5"/>
        <v>0.12433666666666666</v>
      </c>
      <c r="E17" s="5">
        <f t="shared" si="6"/>
        <v>222.68697</v>
      </c>
      <c r="F17" s="67">
        <v>15.5</v>
      </c>
      <c r="G17" s="53">
        <f t="shared" si="0"/>
        <v>14.366901290322581</v>
      </c>
      <c r="H17" s="5">
        <f t="shared" si="3"/>
        <v>52.678638064516129</v>
      </c>
      <c r="I17" s="156">
        <f t="shared" si="4"/>
        <v>62.546816479400746</v>
      </c>
      <c r="J17" s="54">
        <f t="shared" si="1"/>
        <v>13928.36104494382</v>
      </c>
      <c r="K17" s="55">
        <f t="shared" si="2"/>
        <v>898.60393838347227</v>
      </c>
      <c r="M17" s="68"/>
      <c r="N17" s="59"/>
      <c r="O17" s="59"/>
    </row>
    <row r="18" spans="2:16">
      <c r="B18" s="90" t="s">
        <v>12</v>
      </c>
      <c r="C18" s="67">
        <v>440</v>
      </c>
      <c r="D18" s="40">
        <f t="shared" si="5"/>
        <v>0.12433666666666666</v>
      </c>
      <c r="E18" s="5">
        <f t="shared" si="6"/>
        <v>54.708133333333329</v>
      </c>
      <c r="F18" s="67">
        <v>10.1</v>
      </c>
      <c r="G18" s="53">
        <f t="shared" si="0"/>
        <v>5.4166468646864683</v>
      </c>
      <c r="H18" s="5">
        <f t="shared" si="3"/>
        <v>19.861038503850384</v>
      </c>
      <c r="I18" s="156">
        <f t="shared" si="4"/>
        <v>62.546816479400746</v>
      </c>
      <c r="J18" s="54">
        <f t="shared" si="1"/>
        <v>3421.8195755305865</v>
      </c>
      <c r="K18" s="55">
        <f t="shared" si="2"/>
        <v>338.79401737926599</v>
      </c>
      <c r="M18" s="68"/>
      <c r="N18" s="59"/>
      <c r="O18" s="59"/>
    </row>
    <row r="19" spans="2:16">
      <c r="B19" s="90" t="s">
        <v>13</v>
      </c>
      <c r="C19" s="67">
        <v>501</v>
      </c>
      <c r="D19" s="40">
        <f t="shared" si="5"/>
        <v>0.12433666666666666</v>
      </c>
      <c r="E19" s="5">
        <f t="shared" si="6"/>
        <v>62.292670000000001</v>
      </c>
      <c r="F19" s="67">
        <v>6.5</v>
      </c>
      <c r="G19" s="53">
        <f t="shared" si="0"/>
        <v>9.5834876923076919</v>
      </c>
      <c r="H19" s="5">
        <f t="shared" si="3"/>
        <v>35.139454871794868</v>
      </c>
      <c r="I19" s="156">
        <f t="shared" si="4"/>
        <v>62.546816479400746</v>
      </c>
      <c r="J19" s="54">
        <f t="shared" si="1"/>
        <v>3896.2081985018726</v>
      </c>
      <c r="K19" s="55">
        <f t="shared" si="2"/>
        <v>599.41664592336497</v>
      </c>
      <c r="M19" s="68"/>
      <c r="N19" s="59"/>
      <c r="O19" s="59"/>
    </row>
    <row r="20" spans="2:16">
      <c r="B20" s="90" t="s">
        <v>14</v>
      </c>
      <c r="C20" s="67">
        <v>764</v>
      </c>
      <c r="D20" s="40">
        <f t="shared" si="5"/>
        <v>0.12433666666666666</v>
      </c>
      <c r="E20" s="5">
        <f t="shared" si="6"/>
        <v>94.99321333333333</v>
      </c>
      <c r="F20" s="67">
        <v>16.899999999999999</v>
      </c>
      <c r="G20" s="53">
        <f t="shared" si="0"/>
        <v>5.620900197238659</v>
      </c>
      <c r="H20" s="5">
        <f t="shared" si="3"/>
        <v>20.609967389875084</v>
      </c>
      <c r="I20" s="156">
        <f t="shared" si="4"/>
        <v>62.546816479400746</v>
      </c>
      <c r="J20" s="54">
        <f t="shared" si="1"/>
        <v>5941.5230811485635</v>
      </c>
      <c r="K20" s="55">
        <f t="shared" si="2"/>
        <v>351.56941308571385</v>
      </c>
      <c r="M20" s="68"/>
    </row>
    <row r="21" spans="2:16">
      <c r="B21" s="90" t="s">
        <v>15</v>
      </c>
      <c r="C21" s="67">
        <v>3600</v>
      </c>
      <c r="D21" s="40">
        <f t="shared" si="5"/>
        <v>0.12433666666666666</v>
      </c>
      <c r="E21" s="5">
        <f t="shared" si="6"/>
        <v>447.61199999999997</v>
      </c>
      <c r="F21" s="67">
        <v>21.9</v>
      </c>
      <c r="G21" s="53">
        <f t="shared" si="0"/>
        <v>20.438904109589039</v>
      </c>
      <c r="H21" s="5">
        <f t="shared" si="3"/>
        <v>74.942648401826474</v>
      </c>
      <c r="I21" s="156">
        <f t="shared" si="4"/>
        <v>62.546816479400746</v>
      </c>
      <c r="J21" s="54">
        <f t="shared" si="1"/>
        <v>27996.705617977525</v>
      </c>
      <c r="K21" s="55">
        <f t="shared" si="2"/>
        <v>1278.3883843825354</v>
      </c>
      <c r="M21" s="1"/>
    </row>
    <row r="22" spans="2:16">
      <c r="B22" s="90" t="s">
        <v>16</v>
      </c>
      <c r="C22" s="67">
        <v>294</v>
      </c>
      <c r="D22" s="40">
        <f t="shared" si="5"/>
        <v>0.12433666666666666</v>
      </c>
      <c r="E22" s="5">
        <f t="shared" si="6"/>
        <v>36.55498</v>
      </c>
      <c r="F22" s="67">
        <v>14.1</v>
      </c>
      <c r="G22" s="53">
        <f t="shared" si="0"/>
        <v>2.5925517730496455</v>
      </c>
      <c r="H22" s="5">
        <f t="shared" si="3"/>
        <v>9.506023167848701</v>
      </c>
      <c r="I22" s="156">
        <f t="shared" si="4"/>
        <v>62.546816479400746</v>
      </c>
      <c r="J22" s="54">
        <f t="shared" si="1"/>
        <v>2286.3976254681647</v>
      </c>
      <c r="K22" s="55">
        <f t="shared" si="2"/>
        <v>162.1558599622812</v>
      </c>
      <c r="M22" s="1"/>
    </row>
    <row r="23" spans="2:16">
      <c r="M23" s="69"/>
    </row>
    <row r="24" spans="2:16">
      <c r="B24" s="70"/>
      <c r="G24" s="56"/>
      <c r="H24" s="57"/>
      <c r="I24" s="58"/>
      <c r="J24" s="56"/>
      <c r="P24" s="69"/>
    </row>
    <row r="25" spans="2:16">
      <c r="B25" s="6" t="s">
        <v>38</v>
      </c>
      <c r="P25" s="69"/>
    </row>
    <row r="26" spans="2:16">
      <c r="B26" s="82" t="s">
        <v>52</v>
      </c>
      <c r="C26" s="23" t="s">
        <v>53</v>
      </c>
      <c r="P26" s="69"/>
    </row>
    <row r="27" spans="2:16">
      <c r="B27" s="83"/>
      <c r="C27" s="59"/>
      <c r="D27" s="59"/>
      <c r="E27" s="59"/>
      <c r="F27" s="59"/>
      <c r="G27" s="59"/>
      <c r="H27" s="59"/>
      <c r="I27" s="59"/>
      <c r="P27" s="69"/>
    </row>
    <row r="28" spans="2:16" ht="24">
      <c r="B28" s="84" t="s">
        <v>71</v>
      </c>
      <c r="C28" s="71" t="s">
        <v>80</v>
      </c>
      <c r="D28" s="37"/>
      <c r="E28" s="37"/>
      <c r="F28" s="37"/>
      <c r="G28" s="60"/>
      <c r="H28" s="60"/>
      <c r="I28" s="60"/>
      <c r="J28" s="60"/>
      <c r="P28" s="69"/>
    </row>
    <row r="29" spans="2:16">
      <c r="B29" s="85"/>
      <c r="C29" s="72" t="s">
        <v>65</v>
      </c>
      <c r="E29" s="37"/>
      <c r="F29" s="37"/>
      <c r="G29" s="60"/>
      <c r="H29" s="60"/>
      <c r="I29" s="60"/>
      <c r="J29" s="60"/>
      <c r="P29" s="69"/>
    </row>
    <row r="30" spans="2:16">
      <c r="B30" s="85"/>
      <c r="C30" s="72" t="s">
        <v>22</v>
      </c>
      <c r="E30" s="37"/>
      <c r="F30" s="37"/>
      <c r="G30" s="60"/>
      <c r="H30" s="60"/>
      <c r="I30" s="60"/>
      <c r="J30" s="60"/>
      <c r="P30" s="69"/>
    </row>
    <row r="31" spans="2:16">
      <c r="B31" s="85"/>
      <c r="C31" s="72" t="s">
        <v>66</v>
      </c>
      <c r="D31" s="72"/>
      <c r="E31" s="37"/>
      <c r="F31" s="37"/>
      <c r="G31" s="60"/>
      <c r="H31" s="60"/>
      <c r="I31" s="60"/>
      <c r="J31" s="60"/>
      <c r="P31" s="69"/>
    </row>
    <row r="32" spans="2:16">
      <c r="B32" s="85"/>
      <c r="C32" s="72"/>
      <c r="D32" s="72"/>
      <c r="E32" s="37"/>
      <c r="F32" s="37"/>
      <c r="G32" s="60"/>
      <c r="H32" s="60"/>
      <c r="I32" s="60"/>
      <c r="J32" s="60"/>
      <c r="P32" s="69"/>
    </row>
    <row r="33" spans="2:16" ht="24">
      <c r="B33" s="86" t="s">
        <v>72</v>
      </c>
      <c r="C33" s="61" t="s">
        <v>79</v>
      </c>
      <c r="D33" s="62"/>
      <c r="E33" s="37"/>
      <c r="F33" s="37"/>
      <c r="G33" s="60"/>
      <c r="H33" s="60"/>
      <c r="I33" s="60"/>
      <c r="J33" s="60"/>
      <c r="P33" s="69"/>
    </row>
    <row r="34" spans="2:16">
      <c r="B34" s="87" t="s">
        <v>76</v>
      </c>
      <c r="C34" s="24" t="s">
        <v>21</v>
      </c>
      <c r="D34" s="4"/>
      <c r="E34" s="37"/>
      <c r="F34" s="37"/>
      <c r="G34" s="60"/>
      <c r="H34" s="60"/>
      <c r="I34" s="60"/>
      <c r="J34" s="60"/>
      <c r="P34" s="69"/>
    </row>
    <row r="35" spans="2:16">
      <c r="B35" s="87" t="s">
        <v>77</v>
      </c>
      <c r="C35" s="61" t="s">
        <v>73</v>
      </c>
      <c r="D35" s="61"/>
      <c r="E35" s="37"/>
      <c r="F35" s="37"/>
      <c r="G35" s="60"/>
      <c r="H35" s="60"/>
      <c r="I35" s="60"/>
      <c r="J35" s="60"/>
      <c r="P35" s="69"/>
    </row>
    <row r="36" spans="2:16">
      <c r="B36" s="82"/>
      <c r="C36" s="61"/>
      <c r="D36" s="61"/>
      <c r="E36" s="37"/>
      <c r="F36" s="37"/>
      <c r="G36" s="60"/>
      <c r="H36" s="60"/>
      <c r="I36" s="60"/>
      <c r="J36" s="60"/>
      <c r="P36" s="69"/>
    </row>
    <row r="37" spans="2:16">
      <c r="B37" s="82"/>
      <c r="C37" s="63" t="s">
        <v>74</v>
      </c>
      <c r="D37" s="61"/>
      <c r="E37" s="37"/>
      <c r="F37" s="37"/>
      <c r="G37" s="60"/>
      <c r="H37" s="60"/>
      <c r="I37" s="60"/>
      <c r="J37" s="60"/>
      <c r="P37" s="69"/>
    </row>
    <row r="38" spans="2:16">
      <c r="B38" s="82"/>
      <c r="C38" s="72"/>
      <c r="D38" s="72"/>
      <c r="E38" s="37"/>
      <c r="F38" s="37"/>
      <c r="G38" s="60"/>
      <c r="H38" s="60"/>
      <c r="I38" s="60"/>
      <c r="J38" s="60"/>
      <c r="P38" s="69"/>
    </row>
    <row r="39" spans="2:16">
      <c r="B39" s="15" t="s">
        <v>70</v>
      </c>
      <c r="C39" s="73" t="s">
        <v>69</v>
      </c>
      <c r="D39" s="16"/>
      <c r="E39" s="37"/>
      <c r="F39" s="37"/>
      <c r="G39" s="60"/>
      <c r="H39" s="60"/>
      <c r="I39" s="60"/>
      <c r="J39" s="60"/>
      <c r="P39" s="69"/>
    </row>
    <row r="40" spans="2:16">
      <c r="B40" s="15"/>
      <c r="C40" s="64" t="s">
        <v>67</v>
      </c>
      <c r="D40" s="73"/>
      <c r="E40" s="37"/>
      <c r="F40" s="37"/>
      <c r="G40" s="60"/>
      <c r="H40" s="60"/>
      <c r="I40" s="60"/>
      <c r="J40" s="60"/>
      <c r="P40" s="69"/>
    </row>
    <row r="41" spans="2:16">
      <c r="B41" s="15"/>
      <c r="C41" s="64" t="s">
        <v>68</v>
      </c>
      <c r="D41" s="73"/>
      <c r="E41" s="37"/>
      <c r="F41" s="37"/>
      <c r="G41" s="60"/>
      <c r="H41" s="60"/>
      <c r="I41" s="60"/>
      <c r="J41" s="60"/>
      <c r="P41" s="69"/>
    </row>
    <row r="42" spans="2:16">
      <c r="B42" s="15"/>
      <c r="C42" s="64" t="s">
        <v>169</v>
      </c>
      <c r="D42" s="73"/>
      <c r="E42" s="37"/>
      <c r="F42" s="37"/>
      <c r="G42" s="60"/>
      <c r="H42" s="60"/>
      <c r="I42" s="60"/>
      <c r="J42" s="60"/>
      <c r="P42" s="69"/>
    </row>
    <row r="43" spans="2:16">
      <c r="B43" s="82"/>
      <c r="C43" s="74" t="s">
        <v>170</v>
      </c>
      <c r="D43" s="74"/>
      <c r="E43" s="75"/>
      <c r="F43" s="37"/>
      <c r="G43" s="60"/>
      <c r="H43" s="60"/>
      <c r="I43" s="60"/>
      <c r="J43" s="60"/>
      <c r="P43" s="69"/>
    </row>
    <row r="44" spans="2:16">
      <c r="B44" s="162" t="s">
        <v>75</v>
      </c>
      <c r="C44" s="76" t="s">
        <v>78</v>
      </c>
      <c r="D44" s="74"/>
      <c r="E44" s="75"/>
      <c r="F44" s="37"/>
      <c r="G44" s="60"/>
      <c r="H44" s="60"/>
      <c r="I44" s="60"/>
      <c r="J44" s="60"/>
      <c r="P44" s="69"/>
    </row>
    <row r="45" spans="2:16">
      <c r="B45" s="88"/>
      <c r="C45" s="76" t="s">
        <v>24</v>
      </c>
      <c r="D45" s="74"/>
      <c r="E45" s="75"/>
      <c r="F45" s="37"/>
      <c r="G45" s="60"/>
      <c r="H45" s="60"/>
      <c r="I45" s="60"/>
      <c r="J45" s="60"/>
      <c r="P45" s="69"/>
    </row>
    <row r="46" spans="2:16">
      <c r="B46" s="88"/>
      <c r="C46" s="76" t="s">
        <v>23</v>
      </c>
      <c r="D46" s="74"/>
      <c r="E46" s="75"/>
      <c r="F46" s="37"/>
      <c r="G46" s="60"/>
      <c r="H46" s="60"/>
      <c r="I46" s="60"/>
      <c r="J46" s="60"/>
      <c r="P46" s="69"/>
    </row>
    <row r="47" spans="2:16">
      <c r="B47" s="88"/>
      <c r="C47" s="76"/>
      <c r="D47" s="74"/>
      <c r="E47" s="75"/>
      <c r="F47" s="37"/>
      <c r="G47" s="60"/>
      <c r="H47" s="60"/>
      <c r="I47" s="60"/>
      <c r="J47" s="60"/>
      <c r="P47" s="69"/>
    </row>
    <row r="48" spans="2:16">
      <c r="B48" s="82"/>
      <c r="C48" s="60"/>
      <c r="D48" s="77"/>
      <c r="E48" s="60"/>
      <c r="F48" s="60"/>
      <c r="G48" s="60"/>
      <c r="H48" s="60"/>
      <c r="I48" s="60"/>
      <c r="J48" s="60"/>
      <c r="P48" s="69"/>
    </row>
    <row r="49" spans="2:16">
      <c r="P49" s="69"/>
    </row>
    <row r="51" spans="2:16" ht="36">
      <c r="B51" s="149" t="s">
        <v>2</v>
      </c>
      <c r="C51" s="133"/>
      <c r="D51" s="134" t="s">
        <v>139</v>
      </c>
      <c r="E51" s="135" t="s">
        <v>140</v>
      </c>
      <c r="F51" s="134" t="s">
        <v>39</v>
      </c>
    </row>
    <row r="52" spans="2:16" ht="36">
      <c r="B52" s="132"/>
      <c r="C52" s="136" t="s">
        <v>141</v>
      </c>
      <c r="D52" s="150">
        <f>1273*1000</f>
        <v>1273000</v>
      </c>
      <c r="E52" s="150">
        <f>329*1000</f>
        <v>329000</v>
      </c>
      <c r="F52" s="153">
        <f>D52+E52</f>
        <v>1602000</v>
      </c>
      <c r="G52" s="78"/>
    </row>
    <row r="53" spans="2:16" ht="24">
      <c r="B53" s="132"/>
      <c r="C53" s="36" t="s">
        <v>142</v>
      </c>
      <c r="D53" s="151">
        <f>73.7*1000000</f>
        <v>73700000</v>
      </c>
      <c r="E53" s="152">
        <f>26.5*1000000</f>
        <v>26500000</v>
      </c>
      <c r="F53" s="151">
        <f>D53+E53</f>
        <v>100200000</v>
      </c>
      <c r="G53" s="59"/>
      <c r="H53" s="59"/>
    </row>
    <row r="54" spans="2:16" ht="24">
      <c r="B54" s="132"/>
      <c r="C54" s="36" t="s">
        <v>143</v>
      </c>
      <c r="D54" s="148">
        <f>D53/D52</f>
        <v>57.89473684210526</v>
      </c>
      <c r="E54" s="148">
        <f>E53/E52</f>
        <v>80.547112462006083</v>
      </c>
      <c r="F54" s="154">
        <f>F53/F52</f>
        <v>62.546816479400746</v>
      </c>
      <c r="G54" s="147" t="s">
        <v>154</v>
      </c>
    </row>
    <row r="55" spans="2:16">
      <c r="B55" s="132"/>
      <c r="C55" s="82" t="s">
        <v>155</v>
      </c>
      <c r="D55" s="132"/>
      <c r="E55" s="132"/>
      <c r="G55" s="59"/>
    </row>
    <row r="56" spans="2:16">
      <c r="B56" s="132"/>
      <c r="C56" s="155" t="s">
        <v>0</v>
      </c>
    </row>
    <row r="57" spans="2:16">
      <c r="B57" s="132"/>
      <c r="C57" s="155" t="s">
        <v>1</v>
      </c>
    </row>
    <row r="58" spans="2:16">
      <c r="B58" s="132"/>
      <c r="C58" s="155"/>
    </row>
    <row r="59" spans="2:16">
      <c r="C59" s="137" t="s">
        <v>144</v>
      </c>
      <c r="D59" s="132"/>
      <c r="E59" s="132"/>
    </row>
    <row r="60" spans="2:16">
      <c r="C60" s="132"/>
      <c r="D60" s="132"/>
      <c r="E60" s="132"/>
    </row>
    <row r="61" spans="2:16" ht="36">
      <c r="C61" s="138" t="s">
        <v>141</v>
      </c>
      <c r="D61" s="139" t="s">
        <v>145</v>
      </c>
      <c r="E61" s="140"/>
    </row>
    <row r="62" spans="2:16">
      <c r="C62" s="141"/>
      <c r="D62" s="139" t="s">
        <v>146</v>
      </c>
      <c r="E62" s="140"/>
    </row>
    <row r="63" spans="2:16">
      <c r="C63" s="141"/>
      <c r="D63" s="139" t="s">
        <v>147</v>
      </c>
      <c r="E63" s="140"/>
    </row>
    <row r="64" spans="2:16">
      <c r="C64" s="140"/>
      <c r="D64" s="140"/>
      <c r="E64" s="140"/>
    </row>
    <row r="65" spans="3:6" ht="36">
      <c r="C65" s="142" t="s">
        <v>142</v>
      </c>
      <c r="D65" s="143" t="s">
        <v>148</v>
      </c>
      <c r="E65" s="144"/>
    </row>
    <row r="66" spans="3:6">
      <c r="C66" s="144"/>
      <c r="D66" s="143" t="s">
        <v>149</v>
      </c>
      <c r="E66" s="144"/>
    </row>
    <row r="67" spans="3:6">
      <c r="C67" s="144"/>
      <c r="D67" s="145" t="s">
        <v>150</v>
      </c>
      <c r="E67" s="144"/>
    </row>
    <row r="68" spans="3:6">
      <c r="C68" s="144"/>
      <c r="D68" s="145" t="s">
        <v>151</v>
      </c>
      <c r="E68" s="144"/>
    </row>
    <row r="69" spans="3:6">
      <c r="C69" s="144"/>
      <c r="D69" s="145" t="s">
        <v>152</v>
      </c>
      <c r="E69" s="144"/>
      <c r="F69" s="132"/>
    </row>
  </sheetData>
  <sheetProtection algorithmName="SHA-512" hashValue="ziqZ+MU31ApZlziqjnssKB9CSdaEViqbyWHYeFablREUDnEPOzmkf739Ub7KpdTb1ZQkmPWFA5kFu5j7nw3kCg==" saltValue="dRPQTSn3u+0RNV0PGL/ZUw==" spinCount="100000" sheet="1" objects="1" scenarios="1" selectLockedCells="1" selectUnlockedCells="1"/>
  <phoneticPr fontId="3" type="noConversion"/>
  <conditionalFormatting sqref="D52:E52">
    <cfRule type="cellIs" dxfId="0" priority="1" stopIfTrue="1" operator="equal">
      <formula>0</formula>
    </cfRule>
  </conditionalFormatting>
  <pageMargins left="0.75" right="0.75" top="1.25" bottom="0.75" header="0.5" footer="0.5"/>
  <pageSetup scale="70" fitToHeight="2" orientation="landscape" horizontalDpi="525" verticalDpi="525"/>
  <headerFooter alignWithMargins="0">
    <oddHeader>&amp;C&amp;G</oddHeader>
    <oddFooter>&amp;LDepartment of Local Services, Permitting Division
35030 SE Douglas Street, Suite 210
Snoqualmie, WA  98065-9266&amp;CMarch 2019&amp;R206-296-6600
   TTY Relay:  711
www.kingcounty.gov</oddFooter>
  </headerFooter>
  <rowBreaks count="1" manualBreakCount="1">
    <brk id="24" max="16383" man="1"/>
  </rowBreaks>
  <drawing r:id="rId1"/>
  <legacyDrawing r:id="rId2"/>
  <legacyDrawingHF r:id="rId3"/>
  <oleObjects>
    <mc:AlternateContent xmlns:mc="http://schemas.openxmlformats.org/markup-compatibility/2006">
      <mc:Choice Requires="x14">
        <oleObject progId="Word.Document.8" shapeId="4099" r:id="rId4">
          <objectPr defaultSize="0" r:id="rId5">
            <anchor moveWithCells="1">
              <from>
                <xdr:col>1</xdr:col>
                <xdr:colOff>444500</xdr:colOff>
                <xdr:row>70</xdr:row>
                <xdr:rowOff>63500</xdr:rowOff>
              </from>
              <to>
                <xdr:col>8</xdr:col>
                <xdr:colOff>482600</xdr:colOff>
                <xdr:row>95</xdr:row>
                <xdr:rowOff>50800</xdr:rowOff>
              </to>
            </anchor>
          </objectPr>
        </oleObject>
      </mc:Choice>
      <mc:Fallback>
        <oleObject progId="Word.Document.8" shapeId="4099" r:id="rId4"/>
      </mc:Fallback>
    </mc:AlternateContent>
  </oleObjec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B1:N87"/>
  <sheetViews>
    <sheetView zoomScale="75" workbookViewId="0">
      <selection activeCell="L30" sqref="L30"/>
    </sheetView>
  </sheetViews>
  <sheetFormatPr baseColWidth="10" defaultColWidth="8.83203125" defaultRowHeight="12" x14ac:dyDescent="0"/>
  <cols>
    <col min="1" max="1" width="8.83203125" style="7"/>
    <col min="2" max="2" width="34.83203125" style="7" customWidth="1"/>
    <col min="3" max="3" width="15.1640625" style="7" customWidth="1"/>
    <col min="4" max="4" width="11" style="7" customWidth="1"/>
    <col min="5" max="5" width="13" style="7" customWidth="1"/>
    <col min="6" max="6" width="12.83203125" style="7" customWidth="1"/>
    <col min="7" max="7" width="11.33203125" style="7" customWidth="1"/>
    <col min="8" max="8" width="9.5" style="7" customWidth="1"/>
    <col min="9" max="9" width="8.83203125" style="7"/>
    <col min="10" max="10" width="12.1640625" style="7" customWidth="1"/>
    <col min="11" max="11" width="14.5" style="7" customWidth="1"/>
    <col min="12" max="12" width="11" style="7" customWidth="1"/>
    <col min="13" max="13" width="14.1640625" style="7" customWidth="1"/>
    <col min="14" max="16384" width="8.83203125" style="7"/>
  </cols>
  <sheetData>
    <row r="1" spans="2:14" ht="30.75" customHeight="1">
      <c r="B1" s="7" t="s">
        <v>158</v>
      </c>
      <c r="L1" s="8"/>
    </row>
    <row r="2" spans="2:14" ht="84">
      <c r="B2" s="36" t="s">
        <v>125</v>
      </c>
      <c r="C2" s="157" t="s">
        <v>111</v>
      </c>
      <c r="D2" s="157" t="s">
        <v>110</v>
      </c>
      <c r="E2" s="159" t="s">
        <v>81</v>
      </c>
      <c r="F2" s="158" t="s">
        <v>32</v>
      </c>
      <c r="G2" s="158" t="s">
        <v>55</v>
      </c>
      <c r="H2" s="36" t="s">
        <v>54</v>
      </c>
      <c r="I2" s="36" t="s">
        <v>40</v>
      </c>
      <c r="J2" s="81" t="s">
        <v>56</v>
      </c>
      <c r="K2" s="81" t="s">
        <v>57</v>
      </c>
    </row>
    <row r="3" spans="2:14" ht="13">
      <c r="B3" s="105" t="s">
        <v>58</v>
      </c>
      <c r="C3" s="30">
        <v>2.7730999999999999</v>
      </c>
      <c r="D3" s="97">
        <f>2527/1000</f>
        <v>2.5270000000000001</v>
      </c>
      <c r="E3" s="38">
        <f>C3/D3</f>
        <v>1.0973882073605064</v>
      </c>
      <c r="F3" s="31">
        <v>4.932074788590274</v>
      </c>
      <c r="G3" s="32">
        <f>C3*F3</f>
        <v>13.677136596239688</v>
      </c>
      <c r="H3" s="32">
        <f>E3*F3</f>
        <v>5.4124007108190293</v>
      </c>
      <c r="I3" s="146">
        <f>'Energy Emissions'!I4</f>
        <v>57.89473684210526</v>
      </c>
      <c r="J3" s="33">
        <f>G3*I3</f>
        <v>791.83422399282404</v>
      </c>
      <c r="K3" s="33">
        <f>H3*I3</f>
        <v>313.34951483689116</v>
      </c>
    </row>
    <row r="4" spans="2:14" ht="13">
      <c r="B4" s="105" t="s">
        <v>83</v>
      </c>
      <c r="C4" s="30">
        <v>1.9271</v>
      </c>
      <c r="D4" s="104">
        <f>847/1000</f>
        <v>0.84699999999999998</v>
      </c>
      <c r="E4" s="38">
        <f>C4/D4</f>
        <v>2.2752066115702481</v>
      </c>
      <c r="F4" s="31">
        <v>4.932074788590274</v>
      </c>
      <c r="G4" s="32">
        <f>C4*F4</f>
        <v>9.5046013250923167</v>
      </c>
      <c r="H4" s="32">
        <f>E4*F4</f>
        <v>11.221489167759525</v>
      </c>
      <c r="I4" s="146">
        <f>'Energy Emissions'!I5</f>
        <v>80.547112462006083</v>
      </c>
      <c r="J4" s="33">
        <f>G4*I4</f>
        <v>765.56819183874291</v>
      </c>
      <c r="K4" s="33">
        <f>H4*I4</f>
        <v>903.85854998670959</v>
      </c>
    </row>
    <row r="5" spans="2:14" ht="13">
      <c r="B5" s="105" t="s">
        <v>85</v>
      </c>
      <c r="C5" s="30">
        <v>1.9271</v>
      </c>
      <c r="D5" s="104">
        <v>1.393</v>
      </c>
      <c r="E5" s="38">
        <f>C5/D5</f>
        <v>1.3834170854271357</v>
      </c>
      <c r="F5" s="31">
        <v>4.932074788590274</v>
      </c>
      <c r="G5" s="32">
        <f>C5*F5</f>
        <v>9.5046013250923167</v>
      </c>
      <c r="H5" s="32">
        <f>E5*F5</f>
        <v>6.8231165291402132</v>
      </c>
      <c r="I5" s="146">
        <f>'Energy Emissions'!I6</f>
        <v>80.547112462006083</v>
      </c>
      <c r="J5" s="33">
        <f>G5*I5</f>
        <v>765.56819183874291</v>
      </c>
      <c r="K5" s="33">
        <f>H5*I5</f>
        <v>549.58233441402933</v>
      </c>
    </row>
    <row r="6" spans="2:14" ht="13">
      <c r="B6" s="105" t="s">
        <v>59</v>
      </c>
      <c r="C6" s="30">
        <v>2.4836999999999998</v>
      </c>
      <c r="D6" s="97">
        <f>1062/1000</f>
        <v>1.0620000000000001</v>
      </c>
      <c r="E6" s="38">
        <f>C6/D6</f>
        <v>2.3387005649717509</v>
      </c>
      <c r="F6" s="31">
        <v>4.932074788590274</v>
      </c>
      <c r="G6" s="32">
        <f>C6*F6</f>
        <v>12.249794152421662</v>
      </c>
      <c r="H6" s="32">
        <f>E6*F6</f>
        <v>11.534646094559003</v>
      </c>
      <c r="I6" s="146">
        <f>'Energy Emissions'!I7</f>
        <v>57.89473684210526</v>
      </c>
      <c r="J6" s="33">
        <f>G6*I6</f>
        <v>709.19860882441196</v>
      </c>
      <c r="K6" s="33">
        <f>H6*I6</f>
        <v>667.79530021131063</v>
      </c>
    </row>
    <row r="7" spans="2:14">
      <c r="B7" s="34" t="s">
        <v>4</v>
      </c>
      <c r="C7" s="32">
        <f>D7*E7</f>
        <v>29.976580796252929</v>
      </c>
      <c r="D7" s="67">
        <v>25.6</v>
      </c>
      <c r="E7" s="39">
        <v>1.1709601873536299</v>
      </c>
      <c r="F7" s="31">
        <v>4.932074788590274</v>
      </c>
      <c r="G7" s="32">
        <f t="shared" ref="G7:G21" si="0">C7*F7</f>
        <v>147.84673839333843</v>
      </c>
      <c r="H7" s="32">
        <f>E7*F7</f>
        <v>5.7752632184897825</v>
      </c>
      <c r="I7" s="156">
        <v>62.546816479400746</v>
      </c>
      <c r="J7" s="33">
        <f t="shared" ref="J7:J21" si="1">G7*I7</f>
        <v>9247.3428133661109</v>
      </c>
      <c r="K7" s="33">
        <f>H7*I7</f>
        <v>361.22432864711374</v>
      </c>
    </row>
    <row r="8" spans="2:14">
      <c r="B8" s="34" t="s">
        <v>5</v>
      </c>
      <c r="C8" s="32">
        <f t="shared" ref="C8:C21" si="2">D8*E8</f>
        <v>5.1188299817184637</v>
      </c>
      <c r="D8" s="67">
        <v>5.6</v>
      </c>
      <c r="E8" s="39">
        <v>0.91407678244972579</v>
      </c>
      <c r="F8" s="31">
        <v>4.932074788590274</v>
      </c>
      <c r="G8" s="32">
        <f t="shared" si="0"/>
        <v>25.246452299913649</v>
      </c>
      <c r="H8" s="32">
        <f t="shared" ref="H8:H21" si="3">E8*F8</f>
        <v>4.5082950535560089</v>
      </c>
      <c r="I8" s="156">
        <v>62.546816479400746</v>
      </c>
      <c r="J8" s="33">
        <f t="shared" si="1"/>
        <v>1579.0852187586438</v>
      </c>
      <c r="K8" s="33">
        <f t="shared" ref="K8:K21" si="4">H8*I8</f>
        <v>281.97950334975786</v>
      </c>
    </row>
    <row r="9" spans="2:14">
      <c r="B9" s="34" t="s">
        <v>6</v>
      </c>
      <c r="C9" s="32">
        <f t="shared" si="2"/>
        <v>10.181818181818182</v>
      </c>
      <c r="D9" s="67">
        <v>5.6</v>
      </c>
      <c r="E9" s="39">
        <v>1.8181818181818181</v>
      </c>
      <c r="F9" s="31">
        <v>4.932074788590274</v>
      </c>
      <c r="G9" s="32">
        <f t="shared" si="0"/>
        <v>50.217488756555518</v>
      </c>
      <c r="H9" s="32">
        <f t="shared" si="3"/>
        <v>8.9674087065277703</v>
      </c>
      <c r="I9" s="156">
        <v>62.546816479400746</v>
      </c>
      <c r="J9" s="33">
        <f t="shared" si="1"/>
        <v>3140.9440533126485</v>
      </c>
      <c r="K9" s="33">
        <f t="shared" si="4"/>
        <v>560.8828666629729</v>
      </c>
      <c r="N9" s="65"/>
    </row>
    <row r="10" spans="2:14">
      <c r="B10" s="34" t="s">
        <v>127</v>
      </c>
      <c r="C10" s="32">
        <f t="shared" si="2"/>
        <v>455.47169811320754</v>
      </c>
      <c r="D10" s="67">
        <v>241.4</v>
      </c>
      <c r="E10" s="39">
        <v>1.8867924528301887</v>
      </c>
      <c r="F10" s="31">
        <v>4.932074788590274</v>
      </c>
      <c r="G10" s="32">
        <f t="shared" si="0"/>
        <v>2246.4204791805514</v>
      </c>
      <c r="H10" s="32">
        <f t="shared" si="3"/>
        <v>9.3058014879061783</v>
      </c>
      <c r="I10" s="156">
        <v>62.546816479400746</v>
      </c>
      <c r="J10" s="33">
        <f t="shared" si="1"/>
        <v>140506.44944687345</v>
      </c>
      <c r="K10" s="33">
        <f t="shared" si="4"/>
        <v>582.04825785780213</v>
      </c>
      <c r="N10" s="65"/>
    </row>
    <row r="11" spans="2:14">
      <c r="B11" s="34" t="s">
        <v>126</v>
      </c>
      <c r="C11" s="32">
        <f t="shared" si="2"/>
        <v>19.25925925925926</v>
      </c>
      <c r="D11" s="67">
        <v>10.4</v>
      </c>
      <c r="E11" s="39">
        <v>1.8518518518518519</v>
      </c>
      <c r="F11" s="31">
        <v>4.932074788590274</v>
      </c>
      <c r="G11" s="32">
        <f t="shared" si="0"/>
        <v>94.988107039516393</v>
      </c>
      <c r="H11" s="32">
        <f t="shared" si="3"/>
        <v>9.1334718307227298</v>
      </c>
      <c r="I11" s="156">
        <v>62.546816479400746</v>
      </c>
      <c r="J11" s="33">
        <f t="shared" si="1"/>
        <v>5941.2036987263064</v>
      </c>
      <c r="K11" s="33">
        <f t="shared" si="4"/>
        <v>571.26958641599094</v>
      </c>
    </row>
    <row r="12" spans="2:14">
      <c r="B12" s="34" t="s">
        <v>7</v>
      </c>
      <c r="C12" s="32">
        <f t="shared" si="2"/>
        <v>13.596657804785416</v>
      </c>
      <c r="D12" s="67">
        <v>35.799999999999997</v>
      </c>
      <c r="E12" s="39">
        <v>0.37979491074819599</v>
      </c>
      <c r="F12" s="31">
        <v>4.932074788590274</v>
      </c>
      <c r="G12" s="32">
        <f t="shared" si="0"/>
        <v>67.059733168071332</v>
      </c>
      <c r="H12" s="32">
        <f t="shared" si="3"/>
        <v>1.8731769041360706</v>
      </c>
      <c r="I12" s="156">
        <v>62.546816479400746</v>
      </c>
      <c r="J12" s="33">
        <f t="shared" si="1"/>
        <v>4194.3728236209408</v>
      </c>
      <c r="K12" s="33">
        <f t="shared" si="4"/>
        <v>117.16125205645085</v>
      </c>
      <c r="N12" s="65"/>
    </row>
    <row r="13" spans="2:14">
      <c r="B13" s="34" t="s">
        <v>8</v>
      </c>
      <c r="C13" s="32">
        <f t="shared" si="2"/>
        <v>7.76</v>
      </c>
      <c r="D13" s="67">
        <v>9.6999999999999993</v>
      </c>
      <c r="E13" s="39">
        <v>0.8</v>
      </c>
      <c r="F13" s="31">
        <v>4.932074788590274</v>
      </c>
      <c r="G13" s="32">
        <f t="shared" si="0"/>
        <v>38.272900359460529</v>
      </c>
      <c r="H13" s="32">
        <f t="shared" si="3"/>
        <v>3.9456598308722195</v>
      </c>
      <c r="I13" s="156">
        <v>62.546816479400746</v>
      </c>
      <c r="J13" s="33">
        <f t="shared" si="1"/>
        <v>2393.8480749175687</v>
      </c>
      <c r="K13" s="33">
        <f t="shared" si="4"/>
        <v>246.78846133170811</v>
      </c>
      <c r="N13" s="65"/>
    </row>
    <row r="14" spans="2:14">
      <c r="B14" s="34" t="s">
        <v>9</v>
      </c>
      <c r="C14" s="32">
        <f t="shared" si="2"/>
        <v>28.19047619047619</v>
      </c>
      <c r="D14" s="67">
        <v>14.8</v>
      </c>
      <c r="E14" s="39">
        <v>1.9047619047619047</v>
      </c>
      <c r="F14" s="31">
        <v>4.932074788590274</v>
      </c>
      <c r="G14" s="32">
        <f t="shared" si="0"/>
        <v>139.03753689740202</v>
      </c>
      <c r="H14" s="32">
        <f t="shared" si="3"/>
        <v>9.3944281687433779</v>
      </c>
      <c r="I14" s="156">
        <v>62.546816479400746</v>
      </c>
      <c r="J14" s="33">
        <f t="shared" si="1"/>
        <v>8696.3553040697134</v>
      </c>
      <c r="K14" s="33">
        <f t="shared" si="4"/>
        <v>587.59157459930486</v>
      </c>
    </row>
    <row r="15" spans="2:14">
      <c r="B15" s="34" t="s">
        <v>10</v>
      </c>
      <c r="C15" s="32">
        <f t="shared" si="2"/>
        <v>6.9268292682926829</v>
      </c>
      <c r="D15" s="67">
        <v>14.2</v>
      </c>
      <c r="E15" s="39">
        <v>0.48780487804878048</v>
      </c>
      <c r="F15" s="31">
        <v>4.932074788590274</v>
      </c>
      <c r="G15" s="32">
        <f t="shared" si="0"/>
        <v>34.163639999015558</v>
      </c>
      <c r="H15" s="32">
        <f t="shared" si="3"/>
        <v>2.4058901407757434</v>
      </c>
      <c r="I15" s="156">
        <v>62.546816479400746</v>
      </c>
      <c r="J15" s="33">
        <f t="shared" si="1"/>
        <v>2136.8269212867408</v>
      </c>
      <c r="K15" s="33">
        <f t="shared" si="4"/>
        <v>150.48076910470004</v>
      </c>
    </row>
    <row r="16" spans="2:14">
      <c r="B16" s="34" t="s">
        <v>11</v>
      </c>
      <c r="C16" s="32">
        <f t="shared" si="2"/>
        <v>18.787878787878789</v>
      </c>
      <c r="D16" s="67">
        <v>15.5</v>
      </c>
      <c r="E16" s="39">
        <v>1.2121212121212122</v>
      </c>
      <c r="F16" s="31">
        <v>4.932074788590274</v>
      </c>
      <c r="G16" s="32">
        <f t="shared" si="0"/>
        <v>92.663223300786967</v>
      </c>
      <c r="H16" s="32">
        <f t="shared" si="3"/>
        <v>5.9782724710185144</v>
      </c>
      <c r="I16" s="156">
        <v>62.546816479400746</v>
      </c>
      <c r="J16" s="33">
        <f t="shared" si="1"/>
        <v>5795.7896221840538</v>
      </c>
      <c r="K16" s="33">
        <f t="shared" si="4"/>
        <v>373.92191110864866</v>
      </c>
    </row>
    <row r="17" spans="2:11">
      <c r="B17" s="34" t="s">
        <v>12</v>
      </c>
      <c r="C17" s="32">
        <f t="shared" si="2"/>
        <v>4.208333333333333</v>
      </c>
      <c r="D17" s="67">
        <v>10.1</v>
      </c>
      <c r="E17" s="39">
        <v>0.41666666666666669</v>
      </c>
      <c r="F17" s="31">
        <v>4.932074788590274</v>
      </c>
      <c r="G17" s="32">
        <f t="shared" si="0"/>
        <v>20.755814735317401</v>
      </c>
      <c r="H17" s="32">
        <f t="shared" si="3"/>
        <v>2.0550311619126145</v>
      </c>
      <c r="I17" s="156">
        <v>62.546816479400746</v>
      </c>
      <c r="J17" s="33">
        <f t="shared" si="1"/>
        <v>1298.2101351303393</v>
      </c>
      <c r="K17" s="33">
        <f t="shared" si="4"/>
        <v>128.53565694359798</v>
      </c>
    </row>
    <row r="18" spans="2:11">
      <c r="B18" s="34" t="s">
        <v>13</v>
      </c>
      <c r="C18" s="32">
        <f t="shared" si="2"/>
        <v>5.6034482758620685</v>
      </c>
      <c r="D18" s="67">
        <v>6.5</v>
      </c>
      <c r="E18" s="39">
        <v>0.86206896551724133</v>
      </c>
      <c r="F18" s="31">
        <v>4.932074788590274</v>
      </c>
      <c r="G18" s="32">
        <f t="shared" si="0"/>
        <v>27.636625970548948</v>
      </c>
      <c r="H18" s="32">
        <f t="shared" si="3"/>
        <v>4.2517886108536844</v>
      </c>
      <c r="I18" s="156">
        <v>62.546816479400746</v>
      </c>
      <c r="J18" s="33">
        <f t="shared" si="1"/>
        <v>1728.5829726897657</v>
      </c>
      <c r="K18" s="33">
        <f t="shared" si="4"/>
        <v>265.93584195227163</v>
      </c>
    </row>
    <row r="19" spans="2:11">
      <c r="B19" s="34" t="s">
        <v>14</v>
      </c>
      <c r="C19" s="32">
        <f t="shared" si="2"/>
        <v>9.9411764705882337</v>
      </c>
      <c r="D19" s="67">
        <v>16.899999999999999</v>
      </c>
      <c r="E19" s="39">
        <v>0.58823529411764697</v>
      </c>
      <c r="F19" s="31">
        <v>4.932074788590274</v>
      </c>
      <c r="G19" s="32">
        <f t="shared" si="0"/>
        <v>49.030625839515068</v>
      </c>
      <c r="H19" s="32">
        <f t="shared" si="3"/>
        <v>2.9012204638766312</v>
      </c>
      <c r="I19" s="156">
        <v>62.546816479400746</v>
      </c>
      <c r="J19" s="33">
        <f t="shared" si="1"/>
        <v>3066.7095562543132</v>
      </c>
      <c r="K19" s="33">
        <f t="shared" si="4"/>
        <v>181.46210392037355</v>
      </c>
    </row>
    <row r="20" spans="2:11">
      <c r="B20" s="34" t="s">
        <v>15</v>
      </c>
      <c r="C20" s="32">
        <f t="shared" si="2"/>
        <v>18.25</v>
      </c>
      <c r="D20" s="67">
        <v>21.9</v>
      </c>
      <c r="E20" s="39">
        <v>0.83333333333333337</v>
      </c>
      <c r="F20" s="31">
        <v>4.932074788590274</v>
      </c>
      <c r="G20" s="32">
        <f t="shared" si="0"/>
        <v>90.010364891772497</v>
      </c>
      <c r="H20" s="32">
        <f t="shared" si="3"/>
        <v>4.110062323825229</v>
      </c>
      <c r="I20" s="156">
        <v>62.546816479400746</v>
      </c>
      <c r="J20" s="33">
        <f t="shared" si="1"/>
        <v>5629.8617741295902</v>
      </c>
      <c r="K20" s="33">
        <f t="shared" si="4"/>
        <v>257.07131388719597</v>
      </c>
    </row>
    <row r="21" spans="2:11">
      <c r="B21" s="34" t="s">
        <v>16</v>
      </c>
      <c r="C21" s="32">
        <f t="shared" si="2"/>
        <v>2.1283018867924532</v>
      </c>
      <c r="D21" s="67">
        <v>14.1</v>
      </c>
      <c r="E21" s="39">
        <v>0.15094339622641512</v>
      </c>
      <c r="F21" s="31">
        <v>4.932074788590274</v>
      </c>
      <c r="G21" s="32">
        <f t="shared" si="0"/>
        <v>10.496944078358171</v>
      </c>
      <c r="H21" s="32">
        <f t="shared" si="3"/>
        <v>0.74446411903249432</v>
      </c>
      <c r="I21" s="156">
        <v>62.546816479400746</v>
      </c>
      <c r="J21" s="33">
        <f t="shared" si="1"/>
        <v>656.55043486360091</v>
      </c>
      <c r="K21" s="33">
        <f t="shared" si="4"/>
        <v>46.563860628624177</v>
      </c>
    </row>
    <row r="22" spans="2:11">
      <c r="H22" s="8"/>
    </row>
    <row r="23" spans="2:11">
      <c r="B23" s="6" t="s">
        <v>38</v>
      </c>
    </row>
    <row r="24" spans="2:11">
      <c r="B24" s="7" t="s">
        <v>52</v>
      </c>
      <c r="C24" s="23" t="s">
        <v>53</v>
      </c>
      <c r="D24" s="23"/>
    </row>
    <row r="26" spans="2:11">
      <c r="B26" s="13" t="s">
        <v>42</v>
      </c>
      <c r="C26" s="13" t="s">
        <v>61</v>
      </c>
      <c r="D26" s="13"/>
    </row>
    <row r="27" spans="2:11">
      <c r="C27" s="13" t="s">
        <v>43</v>
      </c>
      <c r="D27" s="13"/>
    </row>
    <row r="28" spans="2:11">
      <c r="C28" s="13" t="s">
        <v>192</v>
      </c>
      <c r="D28" s="13"/>
    </row>
    <row r="29" spans="2:11">
      <c r="C29" s="13" t="s">
        <v>164</v>
      </c>
      <c r="D29" s="13"/>
    </row>
    <row r="30" spans="2:11">
      <c r="C30" s="13" t="s">
        <v>165</v>
      </c>
      <c r="D30" s="13"/>
    </row>
    <row r="31" spans="2:11">
      <c r="C31" s="13"/>
      <c r="D31" s="13"/>
    </row>
    <row r="32" spans="2:11">
      <c r="B32" s="107" t="s">
        <v>75</v>
      </c>
      <c r="C32" s="91" t="s">
        <v>78</v>
      </c>
      <c r="D32" s="91"/>
    </row>
    <row r="33" spans="2:7">
      <c r="B33" s="92"/>
      <c r="C33" s="91" t="s">
        <v>190</v>
      </c>
      <c r="D33" s="91"/>
    </row>
    <row r="34" spans="2:7">
      <c r="E34" s="11"/>
      <c r="F34" s="11"/>
      <c r="G34" s="11"/>
    </row>
    <row r="35" spans="2:7">
      <c r="B35" s="14" t="s">
        <v>44</v>
      </c>
      <c r="C35" s="15" t="s">
        <v>60</v>
      </c>
      <c r="D35" s="15"/>
      <c r="E35" s="12"/>
      <c r="F35" s="12"/>
      <c r="G35" s="12"/>
    </row>
    <row r="36" spans="2:7">
      <c r="B36" s="16"/>
      <c r="C36" s="17" t="s">
        <v>167</v>
      </c>
      <c r="D36" s="17"/>
    </row>
    <row r="37" spans="2:7">
      <c r="B37" s="16"/>
      <c r="C37" s="15" t="s">
        <v>41</v>
      </c>
      <c r="D37" s="15"/>
    </row>
    <row r="38" spans="2:7">
      <c r="B38" s="16"/>
      <c r="C38" s="16"/>
      <c r="D38" s="16"/>
    </row>
    <row r="39" spans="2:7">
      <c r="B39" s="16"/>
      <c r="C39" s="16" t="s">
        <v>45</v>
      </c>
      <c r="D39" s="16"/>
    </row>
    <row r="40" spans="2:7">
      <c r="B40" s="16"/>
      <c r="C40" s="16" t="s">
        <v>166</v>
      </c>
      <c r="D40" s="16"/>
    </row>
    <row r="42" spans="2:7">
      <c r="B42" s="180" t="s">
        <v>191</v>
      </c>
      <c r="F42" s="19"/>
      <c r="G42" s="19"/>
    </row>
    <row r="43" spans="2:7">
      <c r="B43" s="18"/>
      <c r="F43" s="19"/>
      <c r="G43" s="19"/>
    </row>
    <row r="44" spans="2:7">
      <c r="B44" s="19" t="s">
        <v>62</v>
      </c>
      <c r="C44" s="19"/>
      <c r="D44" s="19"/>
      <c r="F44" s="19"/>
    </row>
    <row r="45" spans="2:7">
      <c r="B45" s="160">
        <v>56531930000</v>
      </c>
      <c r="C45" s="19" t="s">
        <v>46</v>
      </c>
      <c r="D45" s="19"/>
      <c r="F45" s="19"/>
    </row>
    <row r="46" spans="2:7">
      <c r="B46" s="160"/>
      <c r="C46" s="19"/>
      <c r="D46" s="19" t="s">
        <v>47</v>
      </c>
      <c r="F46" s="19"/>
    </row>
    <row r="47" spans="2:7">
      <c r="B47" s="160"/>
      <c r="C47" s="19"/>
      <c r="D47" s="19" t="s">
        <v>25</v>
      </c>
      <c r="F47" s="19"/>
    </row>
    <row r="48" spans="2:7">
      <c r="B48" s="160">
        <v>6395798</v>
      </c>
      <c r="C48" s="19" t="s">
        <v>26</v>
      </c>
      <c r="D48" s="19"/>
      <c r="F48" s="19"/>
    </row>
    <row r="49" spans="2:6">
      <c r="B49" s="19"/>
      <c r="C49" s="19"/>
      <c r="D49" s="19" t="s">
        <v>27</v>
      </c>
      <c r="F49" s="19"/>
    </row>
    <row r="50" spans="2:6">
      <c r="B50" s="20">
        <v>8838.9173641819216</v>
      </c>
      <c r="C50" s="19" t="s">
        <v>28</v>
      </c>
      <c r="D50" s="19"/>
      <c r="F50" s="19"/>
    </row>
    <row r="51" spans="2:6">
      <c r="B51" s="21">
        <f>1/19.75</f>
        <v>5.0632911392405063E-2</v>
      </c>
      <c r="C51" s="19" t="s">
        <v>29</v>
      </c>
      <c r="D51" s="19"/>
      <c r="F51" s="19"/>
    </row>
    <row r="52" spans="2:6">
      <c r="B52" s="19"/>
      <c r="C52" s="19"/>
      <c r="D52" s="19" t="s">
        <v>33</v>
      </c>
      <c r="F52" s="19"/>
    </row>
    <row r="53" spans="2:6">
      <c r="B53" s="19"/>
      <c r="C53" s="19"/>
      <c r="D53" s="19" t="s">
        <v>34</v>
      </c>
      <c r="F53" s="19"/>
    </row>
    <row r="54" spans="2:6">
      <c r="B54" s="19"/>
      <c r="C54" s="19"/>
      <c r="D54" s="19" t="s">
        <v>35</v>
      </c>
      <c r="F54" s="19"/>
    </row>
    <row r="55" spans="2:6">
      <c r="B55" s="19"/>
      <c r="C55" s="19"/>
      <c r="D55" s="19" t="s">
        <v>36</v>
      </c>
      <c r="F55" s="19"/>
    </row>
    <row r="56" spans="2:6">
      <c r="B56" s="19"/>
      <c r="C56" s="19"/>
      <c r="D56" s="19" t="s">
        <v>48</v>
      </c>
      <c r="F56" s="19"/>
    </row>
    <row r="57" spans="2:6">
      <c r="B57" s="19"/>
      <c r="C57" s="19"/>
      <c r="D57" s="19" t="s">
        <v>37</v>
      </c>
      <c r="F57" s="19"/>
    </row>
    <row r="58" spans="2:6">
      <c r="B58" s="19"/>
      <c r="C58" s="19"/>
      <c r="D58" s="19" t="s">
        <v>168</v>
      </c>
      <c r="F58" s="19"/>
    </row>
    <row r="59" spans="2:6">
      <c r="B59" s="19"/>
      <c r="C59" s="19"/>
      <c r="D59" s="19" t="s">
        <v>49</v>
      </c>
      <c r="F59" s="19"/>
    </row>
    <row r="60" spans="2:6">
      <c r="B60" s="19">
        <f>24.3</f>
        <v>24.3</v>
      </c>
      <c r="C60" s="19" t="s">
        <v>30</v>
      </c>
      <c r="D60" s="19"/>
      <c r="F60" s="19"/>
    </row>
    <row r="61" spans="2:6">
      <c r="B61" s="19"/>
      <c r="C61" s="19"/>
      <c r="D61" s="19" t="s">
        <v>51</v>
      </c>
      <c r="F61" s="19"/>
    </row>
    <row r="62" spans="2:6">
      <c r="B62" s="19"/>
      <c r="C62" s="19"/>
      <c r="D62" s="19" t="s">
        <v>50</v>
      </c>
      <c r="F62" s="19"/>
    </row>
    <row r="63" spans="2:6">
      <c r="B63" s="19"/>
      <c r="C63" s="19"/>
      <c r="D63" s="19" t="s">
        <v>160</v>
      </c>
      <c r="F63" s="19"/>
    </row>
    <row r="64" spans="2:6">
      <c r="B64" s="19"/>
      <c r="C64" s="19"/>
      <c r="D64" s="19" t="s">
        <v>161</v>
      </c>
      <c r="F64" s="19"/>
    </row>
    <row r="65" spans="2:11">
      <c r="B65" s="19"/>
      <c r="C65" s="19"/>
      <c r="D65" s="19" t="s">
        <v>162</v>
      </c>
      <c r="F65" s="19"/>
    </row>
    <row r="66" spans="2:11">
      <c r="B66" s="19">
        <v>2205</v>
      </c>
      <c r="D66" s="19" t="s">
        <v>163</v>
      </c>
      <c r="F66" s="19"/>
      <c r="H66" s="2"/>
      <c r="I66" s="2"/>
      <c r="J66" s="2"/>
      <c r="K66" s="2"/>
    </row>
    <row r="67" spans="2:11">
      <c r="B67" s="22">
        <f>B50*B51*B60/B66</f>
        <v>4.932074788590274</v>
      </c>
      <c r="C67" s="19" t="s">
        <v>31</v>
      </c>
      <c r="D67" s="19"/>
      <c r="H67" s="25"/>
      <c r="I67" s="25"/>
      <c r="J67" s="25"/>
      <c r="K67" s="25"/>
    </row>
    <row r="68" spans="2:11">
      <c r="C68" s="19" t="s">
        <v>32</v>
      </c>
      <c r="H68" s="25"/>
      <c r="I68" s="25"/>
      <c r="J68" s="25"/>
      <c r="K68" s="25"/>
    </row>
    <row r="69" spans="2:11" ht="24">
      <c r="B69" s="149" t="s">
        <v>2</v>
      </c>
      <c r="C69" s="42" t="s">
        <v>153</v>
      </c>
      <c r="D69" s="26"/>
      <c r="H69" s="2"/>
      <c r="I69" s="2"/>
      <c r="J69" s="2"/>
      <c r="K69" s="2"/>
    </row>
    <row r="70" spans="2:11">
      <c r="B70" s="98"/>
      <c r="D70" s="27"/>
    </row>
    <row r="71" spans="2:11" ht="13">
      <c r="B71" s="87" t="s">
        <v>128</v>
      </c>
      <c r="C71" s="61" t="s">
        <v>79</v>
      </c>
      <c r="D71" s="28"/>
      <c r="E71" s="3"/>
      <c r="F71" s="2"/>
      <c r="G71" s="2"/>
    </row>
    <row r="72" spans="2:11">
      <c r="B72" s="87"/>
      <c r="C72" s="24" t="s">
        <v>21</v>
      </c>
      <c r="D72" s="29"/>
      <c r="E72" s="25"/>
      <c r="F72" s="25"/>
      <c r="G72" s="25"/>
    </row>
    <row r="73" spans="2:11">
      <c r="C73" s="61" t="s">
        <v>73</v>
      </c>
      <c r="D73" s="35"/>
      <c r="E73" s="2"/>
      <c r="F73" s="2"/>
      <c r="G73" s="2"/>
    </row>
    <row r="77" spans="2:11">
      <c r="B77" s="1"/>
      <c r="C77" s="1"/>
    </row>
    <row r="78" spans="2:11">
      <c r="B78" s="1"/>
      <c r="C78" s="1"/>
    </row>
    <row r="79" spans="2:11">
      <c r="B79" s="1"/>
      <c r="C79" s="1"/>
    </row>
    <row r="80" spans="2:11">
      <c r="B80" s="1"/>
      <c r="C80" s="1"/>
    </row>
    <row r="81" spans="2:5">
      <c r="B81" s="1"/>
      <c r="C81" s="1"/>
      <c r="D81" s="1"/>
      <c r="E81" s="1"/>
    </row>
    <row r="82" spans="2:5">
      <c r="B82" s="1"/>
      <c r="C82" s="1"/>
      <c r="D82" s="1"/>
      <c r="E82" s="1"/>
    </row>
    <row r="83" spans="2:5">
      <c r="B83" s="1"/>
      <c r="C83" s="1"/>
      <c r="D83" s="1"/>
      <c r="E83" s="1"/>
    </row>
    <row r="84" spans="2:5">
      <c r="D84" s="1"/>
      <c r="E84" s="1"/>
    </row>
    <row r="85" spans="2:5">
      <c r="D85" s="1"/>
      <c r="E85" s="1"/>
    </row>
    <row r="86" spans="2:5">
      <c r="D86" s="1"/>
      <c r="E86" s="1"/>
    </row>
    <row r="87" spans="2:5">
      <c r="D87" s="1"/>
      <c r="E87" s="1"/>
    </row>
  </sheetData>
  <sheetProtection algorithmName="SHA-512" hashValue="Scxv6S5iGoajE3n1IkqEFNMIw64RRQ3qwni+8s4G6cHBRIkSFF3IvBVye9mNQP1XD/kglmgif7a3b1nQJIxfkQ==" saltValue="2fN2FT/xe8eHGjPwdZdqJg==" spinCount="100000" sheet="1" objects="1" scenarios="1" selectLockedCells="1" selectUnlockedCells="1"/>
  <phoneticPr fontId="3" type="noConversion"/>
  <pageMargins left="0.75" right="0.75" top="1.25" bottom="0.75" header="0.5" footer="0.3"/>
  <pageSetup scale="80" fitToHeight="2" orientation="landscape" horizontalDpi="525" verticalDpi="525"/>
  <headerFooter alignWithMargins="0">
    <oddHeader>&amp;C&amp;G</oddHeader>
    <oddFooter>&amp;LDepartment of Local Services, Permitting Division
35030 SE Douglas Street, Suite 210
Snoqualmie, WA  98065-9266&amp;CMarch 2019&amp;R206-296-6600
   TTY Relay:  711
www.kingcounty.gov</oddFooter>
  </headerFooter>
  <drawing r:id="rId1"/>
  <legacyDrawing r:id="rId2"/>
  <legacyDrawingHF r:id="rId3"/>
  <oleObjects>
    <mc:AlternateContent xmlns:mc="http://schemas.openxmlformats.org/markup-compatibility/2006">
      <mc:Choice Requires="x14">
        <oleObject progId="Word.Document.8" shapeId="5121" r:id="rId4">
          <objectPr defaultSize="0" r:id="rId5">
            <anchor moveWithCells="1">
              <from>
                <xdr:col>1</xdr:col>
                <xdr:colOff>571500</xdr:colOff>
                <xdr:row>74</xdr:row>
                <xdr:rowOff>38100</xdr:rowOff>
              </from>
              <to>
                <xdr:col>6</xdr:col>
                <xdr:colOff>635000</xdr:colOff>
                <xdr:row>84</xdr:row>
                <xdr:rowOff>0</xdr:rowOff>
              </to>
            </anchor>
          </objectPr>
        </oleObject>
      </mc:Choice>
      <mc:Fallback>
        <oleObject progId="Word.Document.8" shapeId="5121" r:id="rId4"/>
      </mc:Fallback>
    </mc:AlternateContent>
  </oleObjec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Total Emissions</vt:lpstr>
      <vt:lpstr>Definition of Building Types</vt:lpstr>
      <vt:lpstr>Embodied Emissions</vt:lpstr>
      <vt:lpstr>Energy Emissions</vt:lpstr>
      <vt:lpstr>Transportation Emissions</vt:lpstr>
    </vt:vector>
  </TitlesOfParts>
  <Company>King County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SEPA GHG Emissions Worksheet, 2019_03_11</dc:title>
  <dc:subject>SEPA GHG Emissions Worksheet, 2019_03_08</dc:subject>
  <dc:creator>DLS Permits</dc:creator>
  <cp:lastModifiedBy>Eliza</cp:lastModifiedBy>
  <cp:lastPrinted>2019-03-11T16:46:19Z</cp:lastPrinted>
  <dcterms:created xsi:type="dcterms:W3CDTF">2007-10-04T20:48:34Z</dcterms:created>
  <dcterms:modified xsi:type="dcterms:W3CDTF">2021-06-08T01:41:36Z</dcterms:modified>
</cp:coreProperties>
</file>